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70" tabRatio="670" activeTab="0"/>
  </bookViews>
  <sheets>
    <sheet name="w 4-7" sheetId="1" r:id="rId1"/>
    <sheet name="w 8-9" sheetId="2" r:id="rId2"/>
    <sheet name="w 10-11" sheetId="3" r:id="rId3"/>
    <sheet name="w 12" sheetId="4" r:id="rId4"/>
    <sheet name="w13" sheetId="5" r:id="rId5"/>
    <sheet name="w 14-15" sheetId="6" r:id="rId6"/>
  </sheets>
  <definedNames/>
  <calcPr fullCalcOnLoad="1"/>
</workbook>
</file>

<file path=xl/comments6.xml><?xml version="1.0" encoding="utf-8"?>
<comments xmlns="http://schemas.openxmlformats.org/spreadsheetml/2006/main">
  <authors>
    <author>H?hnel</author>
  </authors>
  <commentList>
    <comment ref="D35" authorId="0">
      <text>
        <r>
          <rPr>
            <b/>
            <sz val="8"/>
            <rFont val="Tahoma"/>
            <family val="2"/>
          </rPr>
          <t>Hähnel:</t>
        </r>
        <r>
          <rPr>
            <sz val="8"/>
            <rFont val="Tahoma"/>
            <family val="2"/>
          </rPr>
          <t xml:space="preserve">
W14</t>
        </r>
      </text>
    </comment>
  </commentList>
</comments>
</file>

<file path=xl/sharedStrings.xml><?xml version="1.0" encoding="utf-8"?>
<sst xmlns="http://schemas.openxmlformats.org/spreadsheetml/2006/main" count="714" uniqueCount="289">
  <si>
    <t>Bahneröffnung SC Frankfurt     16. April 2011</t>
  </si>
  <si>
    <t>(Jg. 2004 u. jü.)</t>
  </si>
  <si>
    <t>Nr.</t>
  </si>
  <si>
    <t>Name</t>
  </si>
  <si>
    <t>Vorname</t>
  </si>
  <si>
    <t>Jg.</t>
  </si>
  <si>
    <t>Verein</t>
  </si>
  <si>
    <t>50 m</t>
  </si>
  <si>
    <t>Weit</t>
  </si>
  <si>
    <t>Schlagball</t>
  </si>
  <si>
    <t>400 m</t>
  </si>
  <si>
    <t>Mehrkampf</t>
  </si>
  <si>
    <t>Zeit</t>
  </si>
  <si>
    <t>Pkt.</t>
  </si>
  <si>
    <t>Weite</t>
  </si>
  <si>
    <t>Pl.</t>
  </si>
  <si>
    <t>Niederbarnim</t>
  </si>
  <si>
    <t>Thielemann</t>
  </si>
  <si>
    <t>SC Frankfurt</t>
  </si>
  <si>
    <t>Rehfeld</t>
  </si>
  <si>
    <t>Lauf</t>
  </si>
  <si>
    <t>Bahneröffnung SC Frankfurt    16. April 2011</t>
  </si>
  <si>
    <t>(Jg. 2003/ 2002)</t>
  </si>
  <si>
    <t>Minkus</t>
  </si>
  <si>
    <t>Christoph</t>
  </si>
  <si>
    <t>aufg.</t>
  </si>
  <si>
    <t>Schulz</t>
  </si>
  <si>
    <t>Gaselan Fürstenw.</t>
  </si>
  <si>
    <t>Becker</t>
  </si>
  <si>
    <t>SG Vehlefanz</t>
  </si>
  <si>
    <t>Käubler</t>
  </si>
  <si>
    <t>Motor Eberswalde</t>
  </si>
  <si>
    <t>BSG Stahl Ehst.</t>
  </si>
  <si>
    <t>Hentschel</t>
  </si>
  <si>
    <t>o.g.V.</t>
  </si>
  <si>
    <t>Benjamin</t>
  </si>
  <si>
    <t xml:space="preserve"> - </t>
  </si>
  <si>
    <t>Rettschlag</t>
  </si>
  <si>
    <t>Hohen Neuendorf</t>
  </si>
  <si>
    <t>IGL Schöneiche</t>
  </si>
  <si>
    <t>Lange</t>
  </si>
  <si>
    <t>Lang</t>
  </si>
  <si>
    <t>TSG Lübbenau 63</t>
  </si>
  <si>
    <t>75 m</t>
  </si>
  <si>
    <t>60 m Hürden</t>
  </si>
  <si>
    <t>Ball</t>
  </si>
  <si>
    <t>**</t>
  </si>
  <si>
    <t>Chemie Guben</t>
  </si>
  <si>
    <t>*</t>
  </si>
  <si>
    <t>Lehmann</t>
  </si>
  <si>
    <t>Lingk</t>
  </si>
  <si>
    <t>-</t>
  </si>
  <si>
    <t>Richter</t>
  </si>
  <si>
    <t>#</t>
  </si>
  <si>
    <t>Schröder</t>
  </si>
  <si>
    <t>Wind:</t>
  </si>
  <si>
    <t>** 0,00 m/s</t>
  </si>
  <si>
    <t>Blockmehrkampf Sprint/ Sprung</t>
  </si>
  <si>
    <t>100 m</t>
  </si>
  <si>
    <t>80 m Hürden</t>
  </si>
  <si>
    <t>Hoch</t>
  </si>
  <si>
    <t>Speer</t>
  </si>
  <si>
    <t>Sprint/ Sprung</t>
  </si>
  <si>
    <t>Höhe</t>
  </si>
  <si>
    <t>Plumeyer</t>
  </si>
  <si>
    <t>Blockmehrkampf Lauf</t>
  </si>
  <si>
    <t>2000 m</t>
  </si>
  <si>
    <t>Blockmehrkampf Wurf</t>
  </si>
  <si>
    <t>Diskus</t>
  </si>
  <si>
    <t>Kugel</t>
  </si>
  <si>
    <t>Wurf</t>
  </si>
  <si>
    <t>W 4-7</t>
  </si>
  <si>
    <t>Zimmermann</t>
  </si>
  <si>
    <t>Finja</t>
  </si>
  <si>
    <t>Felicitas</t>
  </si>
  <si>
    <t>Emily</t>
  </si>
  <si>
    <t>Schüler</t>
  </si>
  <si>
    <t>Lisa</t>
  </si>
  <si>
    <t>Bischof</t>
  </si>
  <si>
    <t>Penelope</t>
  </si>
  <si>
    <t>Baum</t>
  </si>
  <si>
    <t>Emma</t>
  </si>
  <si>
    <t>Tamina</t>
  </si>
  <si>
    <t>Marie</t>
  </si>
  <si>
    <t>Sarrach</t>
  </si>
  <si>
    <t>Naaja</t>
  </si>
  <si>
    <t>Lina</t>
  </si>
  <si>
    <t>Thater</t>
  </si>
  <si>
    <t>Sophie</t>
  </si>
  <si>
    <t>Bahrenberg</t>
  </si>
  <si>
    <t>Melissa</t>
  </si>
  <si>
    <t>Holstein</t>
  </si>
  <si>
    <t>Anna</t>
  </si>
  <si>
    <t>Pahlow</t>
  </si>
  <si>
    <t>Samy</t>
  </si>
  <si>
    <t>Buder</t>
  </si>
  <si>
    <t>Libby</t>
  </si>
  <si>
    <t>Kalisch</t>
  </si>
  <si>
    <t>Larissa</t>
  </si>
  <si>
    <t>Schoppa</t>
  </si>
  <si>
    <t>Joane</t>
  </si>
  <si>
    <t>Koch</t>
  </si>
  <si>
    <t>Despina</t>
  </si>
  <si>
    <t>Ritter</t>
  </si>
  <si>
    <t>Caroline</t>
  </si>
  <si>
    <t>Merle</t>
  </si>
  <si>
    <t>Budde</t>
  </si>
  <si>
    <t>Karoline</t>
  </si>
  <si>
    <t>Schuhr</t>
  </si>
  <si>
    <t>Paikea</t>
  </si>
  <si>
    <t>John</t>
  </si>
  <si>
    <t>Alyssa</t>
  </si>
  <si>
    <t>Seiffert</t>
  </si>
  <si>
    <t>Maryluz</t>
  </si>
  <si>
    <t>Schölzel</t>
  </si>
  <si>
    <t>Isabelle</t>
  </si>
  <si>
    <t>Bernard</t>
  </si>
  <si>
    <t>Beate</t>
  </si>
  <si>
    <t>Thiessen</t>
  </si>
  <si>
    <t>Lilly</t>
  </si>
  <si>
    <t>Antonia</t>
  </si>
  <si>
    <t>Paulina</t>
  </si>
  <si>
    <t>Jennifer</t>
  </si>
  <si>
    <t>Schlima</t>
  </si>
  <si>
    <t>Charlotte</t>
  </si>
  <si>
    <t>Alexa</t>
  </si>
  <si>
    <t>Rappel</t>
  </si>
  <si>
    <t>Maria</t>
  </si>
  <si>
    <t>Budek</t>
  </si>
  <si>
    <t>Vivien</t>
  </si>
  <si>
    <t>Bennewitz</t>
  </si>
  <si>
    <t>Vanessa</t>
  </si>
  <si>
    <t>Julia</t>
  </si>
  <si>
    <t>Pohl</t>
  </si>
  <si>
    <t>Amelie</t>
  </si>
  <si>
    <t>Wegener</t>
  </si>
  <si>
    <t>Anouk</t>
  </si>
  <si>
    <t>Hemeling</t>
  </si>
  <si>
    <t>Lucia</t>
  </si>
  <si>
    <t>Zierold</t>
  </si>
  <si>
    <t>Valeska</t>
  </si>
  <si>
    <t>Carolin-Sophie</t>
  </si>
  <si>
    <t>Dalski</t>
  </si>
  <si>
    <t>Josefine</t>
  </si>
  <si>
    <t>Burghause</t>
  </si>
  <si>
    <t>Jil</t>
  </si>
  <si>
    <t>Wähnert</t>
  </si>
  <si>
    <t>Anni</t>
  </si>
  <si>
    <t xml:space="preserve">W 8/ 9 </t>
  </si>
  <si>
    <t>W 10</t>
  </si>
  <si>
    <t>Krebs</t>
  </si>
  <si>
    <t>Selina</t>
  </si>
  <si>
    <t>Schiffer</t>
  </si>
  <si>
    <t>Joanne</t>
  </si>
  <si>
    <t>Abraham</t>
  </si>
  <si>
    <t>Lea</t>
  </si>
  <si>
    <t>Gruhn</t>
  </si>
  <si>
    <t>Henriette</t>
  </si>
  <si>
    <t>Johanna</t>
  </si>
  <si>
    <t>Köhler</t>
  </si>
  <si>
    <t>Josephine</t>
  </si>
  <si>
    <t>Hanke</t>
  </si>
  <si>
    <t>Laura-Marie</t>
  </si>
  <si>
    <t>Purps</t>
  </si>
  <si>
    <t>Katharina</t>
  </si>
  <si>
    <t>Sarink</t>
  </si>
  <si>
    <t>Friederike</t>
  </si>
  <si>
    <t>Schimpske</t>
  </si>
  <si>
    <t>Katja</t>
  </si>
  <si>
    <t>Herrlich</t>
  </si>
  <si>
    <t>Engel</t>
  </si>
  <si>
    <t>Michelle</t>
  </si>
  <si>
    <t>Titzki</t>
  </si>
  <si>
    <t>Allanah</t>
  </si>
  <si>
    <t>Marlene</t>
  </si>
  <si>
    <t>Thiele</t>
  </si>
  <si>
    <t>Nele</t>
  </si>
  <si>
    <t>(Jg. 2001)</t>
  </si>
  <si>
    <t>W 11</t>
  </si>
  <si>
    <t>(Jg. 2000)</t>
  </si>
  <si>
    <t>Klabe</t>
  </si>
  <si>
    <t>Judith</t>
  </si>
  <si>
    <t>Merten</t>
  </si>
  <si>
    <t>Sophie Luise</t>
  </si>
  <si>
    <t>Medizin Eberswalde</t>
  </si>
  <si>
    <t>Kosch</t>
  </si>
  <si>
    <t>Luisa</t>
  </si>
  <si>
    <t>Emilia</t>
  </si>
  <si>
    <t>Gens</t>
  </si>
  <si>
    <t>Zähr</t>
  </si>
  <si>
    <t>Derling</t>
  </si>
  <si>
    <t>Lea-Josefin</t>
  </si>
  <si>
    <t>Plagemann</t>
  </si>
  <si>
    <t>Pia</t>
  </si>
  <si>
    <t>Krüger</t>
  </si>
  <si>
    <t>Isabel</t>
  </si>
  <si>
    <t>Gut</t>
  </si>
  <si>
    <t>Gina</t>
  </si>
  <si>
    <t>Bosse</t>
  </si>
  <si>
    <t>Jona</t>
  </si>
  <si>
    <t>Haas</t>
  </si>
  <si>
    <t>Vivian</t>
  </si>
  <si>
    <t>Kohlmeyer</t>
  </si>
  <si>
    <t>Jule</t>
  </si>
  <si>
    <t>Erdtmann</t>
  </si>
  <si>
    <t>Fiona</t>
  </si>
  <si>
    <t>Blönau</t>
  </si>
  <si>
    <t>Jenny</t>
  </si>
  <si>
    <t>Jost</t>
  </si>
  <si>
    <t>Nathalie</t>
  </si>
  <si>
    <t>Marks</t>
  </si>
  <si>
    <t>* +0,46m/s</t>
  </si>
  <si>
    <t>* +1,93m/s</t>
  </si>
  <si>
    <t>** + 2,00 m/s</t>
  </si>
  <si>
    <t>** + 1,56 m/s</t>
  </si>
  <si>
    <t># -1,14 m/s</t>
  </si>
  <si>
    <t># -1,50 m/s</t>
  </si>
  <si>
    <t>Grasme</t>
  </si>
  <si>
    <t>Natho</t>
  </si>
  <si>
    <t>Paula</t>
  </si>
  <si>
    <t>Postier</t>
  </si>
  <si>
    <t>Elisabeth</t>
  </si>
  <si>
    <t>Sturm</t>
  </si>
  <si>
    <t>Lena</t>
  </si>
  <si>
    <t>Schneider</t>
  </si>
  <si>
    <t>Sarah</t>
  </si>
  <si>
    <t>Bollmann</t>
  </si>
  <si>
    <t>Wegner</t>
  </si>
  <si>
    <t>Philine</t>
  </si>
  <si>
    <t>Skotnicki</t>
  </si>
  <si>
    <t>Anne</t>
  </si>
  <si>
    <t>Franke</t>
  </si>
  <si>
    <t>Denise</t>
  </si>
  <si>
    <t>Gatzke</t>
  </si>
  <si>
    <t>Romana</t>
  </si>
  <si>
    <t>Muhs</t>
  </si>
  <si>
    <t>Annika</t>
  </si>
  <si>
    <t>Knie</t>
  </si>
  <si>
    <t>Lara</t>
  </si>
  <si>
    <t>Lainey</t>
  </si>
  <si>
    <t>Morawska</t>
  </si>
  <si>
    <t>Weronika</t>
  </si>
  <si>
    <t>Sarmiento</t>
  </si>
  <si>
    <t>Celine</t>
  </si>
  <si>
    <t>W 12</t>
  </si>
  <si>
    <t>(Jg. 1999)</t>
  </si>
  <si>
    <t>Lydia</t>
  </si>
  <si>
    <t>Buchholz</t>
  </si>
  <si>
    <t>Anabel</t>
  </si>
  <si>
    <t>Karolin</t>
  </si>
  <si>
    <t>Wichert</t>
  </si>
  <si>
    <t>Anne-Catrin</t>
  </si>
  <si>
    <t>Hass</t>
  </si>
  <si>
    <t>Eve</t>
  </si>
  <si>
    <t>Gehricke</t>
  </si>
  <si>
    <t>Angelina</t>
  </si>
  <si>
    <t>Nöcker</t>
  </si>
  <si>
    <t>Veronique</t>
  </si>
  <si>
    <t>Schreiber</t>
  </si>
  <si>
    <t>Schauer</t>
  </si>
  <si>
    <t>* 0,97 m/s</t>
  </si>
  <si>
    <t>* 0,00 m/s</t>
  </si>
  <si>
    <t>** -1,36 m/s</t>
  </si>
  <si>
    <t>W 14/ 15</t>
  </si>
  <si>
    <t>(Jg. 1997/ 1996)</t>
  </si>
  <si>
    <t>* -1,18 m/s</t>
  </si>
  <si>
    <t># -1,42 m/s</t>
  </si>
  <si>
    <t># -0,23 m/s</t>
  </si>
  <si>
    <t>Baumgart</t>
  </si>
  <si>
    <t>Celina</t>
  </si>
  <si>
    <t>Emely</t>
  </si>
  <si>
    <t>Lenz</t>
  </si>
  <si>
    <t>Verena</t>
  </si>
  <si>
    <t>Friebel</t>
  </si>
  <si>
    <t>Duy</t>
  </si>
  <si>
    <t>Pauline</t>
  </si>
  <si>
    <t>Teresa</t>
  </si>
  <si>
    <t>Klose</t>
  </si>
  <si>
    <t>Eva</t>
  </si>
  <si>
    <t>Vita</t>
  </si>
  <si>
    <t>Claudine</t>
  </si>
  <si>
    <t>Kohl</t>
  </si>
  <si>
    <t>Kugel (4 kg)</t>
  </si>
  <si>
    <t>Borrmann</t>
  </si>
  <si>
    <t>Janine</t>
  </si>
  <si>
    <t>a. K.</t>
  </si>
  <si>
    <t>W 13</t>
  </si>
  <si>
    <t>(Jg. 1998)</t>
  </si>
  <si>
    <t>800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</si>
</sst>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3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2" applyNumberFormat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10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2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1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shrinkToFit="1"/>
    </xf>
    <xf numFmtId="2" fontId="20" fillId="0" borderId="15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1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 shrinkToFit="1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20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4" fillId="24" borderId="14" xfId="0" applyFont="1" applyFill="1" applyBorder="1" applyAlignment="1">
      <alignment horizontal="right" shrinkToFit="1"/>
    </xf>
    <xf numFmtId="2" fontId="0" fillId="24" borderId="15" xfId="0" applyNumberFormat="1" applyFill="1" applyBorder="1" applyAlignment="1">
      <alignment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right"/>
    </xf>
    <xf numFmtId="0" fontId="20" fillId="24" borderId="14" xfId="0" applyFont="1" applyFill="1" applyBorder="1" applyAlignment="1">
      <alignment horizontal="left" shrinkToFit="1"/>
    </xf>
    <xf numFmtId="2" fontId="20" fillId="24" borderId="15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2" fontId="20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 shrinkToFit="1"/>
    </xf>
    <xf numFmtId="1" fontId="20" fillId="0" borderId="18" xfId="0" applyNumberFormat="1" applyFont="1" applyFill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18" xfId="0" applyFont="1" applyFill="1" applyBorder="1" applyAlignment="1">
      <alignment horizontal="left" shrinkToFit="1"/>
    </xf>
    <xf numFmtId="1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left" shrinkToFit="1"/>
    </xf>
    <xf numFmtId="0" fontId="20" fillId="0" borderId="18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2" fontId="20" fillId="0" borderId="20" xfId="0" applyNumberFormat="1" applyFont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0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1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 shrinkToFit="1"/>
    </xf>
    <xf numFmtId="49" fontId="2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18" xfId="0" applyFont="1" applyBorder="1" applyAlignment="1">
      <alignment horizontal="left" shrinkToFit="1"/>
    </xf>
    <xf numFmtId="0" fontId="2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1" fontId="20" fillId="0" borderId="14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96" zoomScaleNormal="96"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4.66015625" style="0" customWidth="1"/>
    <col min="3" max="3" width="13.33203125" style="0" customWidth="1"/>
    <col min="4" max="4" width="6.5" style="2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7.33203125" style="3" customWidth="1"/>
    <col min="13" max="13" width="5.83203125" style="0" customWidth="1"/>
    <col min="14" max="14" width="2.83203125" style="0" customWidth="1"/>
    <col min="15" max="15" width="10.83203125" style="4" customWidth="1"/>
    <col min="16" max="16" width="5.83203125" style="0" customWidth="1"/>
    <col min="17" max="17" width="2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6" customFormat="1" ht="18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5"/>
      <c r="L1" s="80"/>
      <c r="M1" s="80"/>
      <c r="N1" s="80"/>
      <c r="O1" s="7"/>
      <c r="P1" s="8" t="s">
        <v>71</v>
      </c>
      <c r="S1" s="8" t="s">
        <v>1</v>
      </c>
    </row>
    <row r="2" ht="12" customHeight="1"/>
    <row r="3" spans="1:19" ht="15" customHeight="1">
      <c r="A3" s="81" t="s">
        <v>2</v>
      </c>
      <c r="B3" s="82" t="s">
        <v>3</v>
      </c>
      <c r="C3" s="82" t="s">
        <v>4</v>
      </c>
      <c r="D3" s="83" t="s">
        <v>5</v>
      </c>
      <c r="E3" s="82" t="s">
        <v>6</v>
      </c>
      <c r="F3" s="84" t="s">
        <v>7</v>
      </c>
      <c r="G3" s="84"/>
      <c r="H3" s="84"/>
      <c r="I3" s="77" t="s">
        <v>8</v>
      </c>
      <c r="J3" s="77"/>
      <c r="K3" s="77"/>
      <c r="L3" s="77" t="s">
        <v>9</v>
      </c>
      <c r="M3" s="77"/>
      <c r="N3" s="77"/>
      <c r="O3" s="77" t="s">
        <v>10</v>
      </c>
      <c r="P3" s="77"/>
      <c r="Q3" s="77"/>
      <c r="R3" s="78" t="s">
        <v>11</v>
      </c>
      <c r="S3" s="78"/>
    </row>
    <row r="4" spans="1:19" s="1" customFormat="1" ht="15" customHeight="1">
      <c r="A4" s="81"/>
      <c r="B4" s="82"/>
      <c r="C4" s="82"/>
      <c r="D4" s="83"/>
      <c r="E4" s="82"/>
      <c r="F4" s="9" t="s">
        <v>12</v>
      </c>
      <c r="G4" s="10" t="s">
        <v>13</v>
      </c>
      <c r="H4" s="11"/>
      <c r="I4" s="12" t="s">
        <v>14</v>
      </c>
      <c r="J4" s="10" t="s">
        <v>13</v>
      </c>
      <c r="K4" s="11"/>
      <c r="L4" s="12" t="s">
        <v>14</v>
      </c>
      <c r="M4" s="10" t="s">
        <v>13</v>
      </c>
      <c r="N4" s="11"/>
      <c r="O4" s="13" t="s">
        <v>12</v>
      </c>
      <c r="P4" s="10" t="s">
        <v>13</v>
      </c>
      <c r="Q4" s="11"/>
      <c r="R4" s="14" t="s">
        <v>13</v>
      </c>
      <c r="S4" s="15" t="s">
        <v>15</v>
      </c>
    </row>
    <row r="5" spans="1:19" ht="12" customHeight="1">
      <c r="A5" s="16"/>
      <c r="B5" s="17"/>
      <c r="C5" s="17"/>
      <c r="D5" s="18"/>
      <c r="E5" s="19"/>
      <c r="F5" s="20"/>
      <c r="G5" s="21" t="str">
        <f>IF(F5&gt;0,ROUNDDOWN(((50/F5)-3.79)/0.0069,0)," ")</f>
        <v> </v>
      </c>
      <c r="H5" s="22"/>
      <c r="I5" s="23"/>
      <c r="J5" s="21" t="str">
        <f>IF(I5&gt;0,ROUNDDOWN((SQRT(I5)-1.15028)/0.00219,0)," ")</f>
        <v> </v>
      </c>
      <c r="K5" s="22"/>
      <c r="L5" s="23"/>
      <c r="M5" s="21" t="str">
        <f>IF(L5&gt;0,ROUNDDOWN((SQRT(L5)-2.8)/0.011,0)," ")</f>
        <v> </v>
      </c>
      <c r="N5" s="22"/>
      <c r="O5" s="24"/>
      <c r="P5" s="21" t="str">
        <f>IF(O5&gt;0,ROUNDDOWN(((400/(O5*86400))-2.967)/0.00716,0)," ")</f>
        <v> </v>
      </c>
      <c r="Q5" s="25"/>
      <c r="R5" s="26"/>
      <c r="S5" s="27"/>
    </row>
    <row r="6" spans="1:19" ht="15" customHeight="1">
      <c r="A6" s="51">
        <v>172</v>
      </c>
      <c r="B6" s="52" t="s">
        <v>72</v>
      </c>
      <c r="C6" s="52" t="s">
        <v>73</v>
      </c>
      <c r="D6" s="53">
        <v>2007</v>
      </c>
      <c r="E6" s="52" t="s">
        <v>31</v>
      </c>
      <c r="F6" s="54">
        <v>15.11</v>
      </c>
      <c r="G6" s="55">
        <v>0</v>
      </c>
      <c r="H6" s="56"/>
      <c r="I6" s="54">
        <v>0.98</v>
      </c>
      <c r="J6" s="55">
        <v>0</v>
      </c>
      <c r="K6" s="56"/>
      <c r="L6" s="54">
        <v>4</v>
      </c>
      <c r="M6" s="55">
        <v>0</v>
      </c>
      <c r="N6" s="56"/>
      <c r="O6" s="57">
        <v>0.0017349537037037036</v>
      </c>
      <c r="P6" s="55">
        <v>0</v>
      </c>
      <c r="Q6" s="58"/>
      <c r="R6" s="59">
        <f aca="true" t="shared" si="0" ref="R6:R31">SUM(G6,J6,M6,P6)</f>
        <v>0</v>
      </c>
      <c r="S6" s="60">
        <v>1</v>
      </c>
    </row>
    <row r="7" spans="1:19" ht="12" customHeight="1">
      <c r="A7" s="51"/>
      <c r="B7" s="52"/>
      <c r="C7" s="52"/>
      <c r="D7" s="53"/>
      <c r="E7" s="52"/>
      <c r="F7" s="54"/>
      <c r="G7" s="55" t="str">
        <f aca="true" t="shared" si="1" ref="G7:G14">IF(F7&gt;0,ROUNDDOWN(((50/F7)-3.648)/0.0066,0)," ")</f>
        <v> </v>
      </c>
      <c r="H7" s="56"/>
      <c r="I7" s="54"/>
      <c r="J7" s="55" t="str">
        <f aca="true" t="shared" si="2" ref="J7:J13">IF(I7&gt;0,ROUNDDOWN((SQRT(I7)-1.0935)/0.00208,0)," ")</f>
        <v> </v>
      </c>
      <c r="K7" s="56"/>
      <c r="L7" s="54"/>
      <c r="M7" s="55" t="str">
        <f>IF(L7&gt;0,ROUNDDOWN((SQRT(L7)-2.0232)/0.00874,0)," ")</f>
        <v> </v>
      </c>
      <c r="N7" s="56"/>
      <c r="O7" s="57"/>
      <c r="P7" s="55" t="str">
        <f>IF(O7&gt;0,ROUNDDOWN(((400/(O7*86400))-2.81)/0.00716,0)," ")</f>
        <v> </v>
      </c>
      <c r="Q7" s="58"/>
      <c r="R7" s="59">
        <f t="shared" si="0"/>
        <v>0</v>
      </c>
      <c r="S7" s="60"/>
    </row>
    <row r="8" spans="1:19" s="1" customFormat="1" ht="15" customHeight="1">
      <c r="A8" s="51">
        <v>4</v>
      </c>
      <c r="B8" s="52" t="s">
        <v>50</v>
      </c>
      <c r="C8" s="52" t="s">
        <v>74</v>
      </c>
      <c r="D8" s="53">
        <v>2006</v>
      </c>
      <c r="E8" s="52" t="s">
        <v>18</v>
      </c>
      <c r="F8" s="54">
        <v>10.97</v>
      </c>
      <c r="G8" s="55">
        <f t="shared" si="1"/>
        <v>137</v>
      </c>
      <c r="H8" s="56"/>
      <c r="I8" s="54">
        <v>1.91</v>
      </c>
      <c r="J8" s="55">
        <f t="shared" si="2"/>
        <v>138</v>
      </c>
      <c r="K8" s="56"/>
      <c r="L8" s="54">
        <v>5.5</v>
      </c>
      <c r="M8" s="55">
        <f>IF(L8&gt;0,ROUNDDOWN((SQRT(L8)-2.0232)/0.00874,0)," ")</f>
        <v>36</v>
      </c>
      <c r="N8" s="56"/>
      <c r="O8" s="57">
        <v>0.0013825231481481481</v>
      </c>
      <c r="P8" s="55">
        <f>IF(O8&gt;0,ROUNDDOWN(((400/(O8*86400))-2.81)/0.00716,0)," ")</f>
        <v>75</v>
      </c>
      <c r="Q8" s="58"/>
      <c r="R8" s="59">
        <f t="shared" si="0"/>
        <v>386</v>
      </c>
      <c r="S8" s="60">
        <v>1</v>
      </c>
    </row>
    <row r="9" spans="1:19" s="1" customFormat="1" ht="15" customHeight="1">
      <c r="A9" s="51">
        <v>5</v>
      </c>
      <c r="B9" s="52" t="s">
        <v>52</v>
      </c>
      <c r="C9" s="52" t="s">
        <v>75</v>
      </c>
      <c r="D9" s="53">
        <v>2006</v>
      </c>
      <c r="E9" s="52" t="s">
        <v>18</v>
      </c>
      <c r="F9" s="54">
        <v>12.96</v>
      </c>
      <c r="G9" s="55">
        <f t="shared" si="1"/>
        <v>31</v>
      </c>
      <c r="H9" s="56"/>
      <c r="I9" s="54">
        <v>1.54</v>
      </c>
      <c r="J9" s="55">
        <f t="shared" si="2"/>
        <v>70</v>
      </c>
      <c r="K9" s="56"/>
      <c r="L9" s="54">
        <v>5.5</v>
      </c>
      <c r="M9" s="55">
        <f>IF(L9&gt;0,ROUNDDOWN((SQRT(L9)-2.0232)/0.00874,0)," ")</f>
        <v>36</v>
      </c>
      <c r="N9" s="56"/>
      <c r="O9" s="57">
        <v>0.0016824074074074074</v>
      </c>
      <c r="P9" s="55">
        <v>0</v>
      </c>
      <c r="Q9" s="58"/>
      <c r="R9" s="59">
        <f t="shared" si="0"/>
        <v>137</v>
      </c>
      <c r="S9" s="60">
        <v>2</v>
      </c>
    </row>
    <row r="10" spans="1:19" s="1" customFormat="1" ht="15" customHeight="1">
      <c r="A10" s="51">
        <v>6</v>
      </c>
      <c r="B10" s="52" t="s">
        <v>76</v>
      </c>
      <c r="C10" s="52" t="s">
        <v>77</v>
      </c>
      <c r="D10" s="53">
        <v>2006</v>
      </c>
      <c r="E10" s="52" t="s">
        <v>18</v>
      </c>
      <c r="F10" s="54">
        <v>12.45</v>
      </c>
      <c r="G10" s="55">
        <f t="shared" si="1"/>
        <v>55</v>
      </c>
      <c r="H10" s="56"/>
      <c r="I10" s="54">
        <v>1.43</v>
      </c>
      <c r="J10" s="55">
        <f t="shared" si="2"/>
        <v>49</v>
      </c>
      <c r="K10" s="56"/>
      <c r="L10" s="54">
        <v>4.5</v>
      </c>
      <c r="M10" s="55">
        <f>IF(L10&gt;0,ROUNDDOWN((SQRT(L10)-2.0232)/0.00874,0)," ")</f>
        <v>11</v>
      </c>
      <c r="N10" s="56"/>
      <c r="O10" s="57">
        <v>0.002066898148148148</v>
      </c>
      <c r="P10" s="55">
        <v>0</v>
      </c>
      <c r="Q10" s="58"/>
      <c r="R10" s="59">
        <f t="shared" si="0"/>
        <v>115</v>
      </c>
      <c r="S10" s="60">
        <v>3</v>
      </c>
    </row>
    <row r="11" spans="1:19" s="1" customFormat="1" ht="15" customHeight="1">
      <c r="A11" s="51">
        <v>2</v>
      </c>
      <c r="B11" s="52" t="s">
        <v>78</v>
      </c>
      <c r="C11" s="52" t="s">
        <v>79</v>
      </c>
      <c r="D11" s="53">
        <v>2006</v>
      </c>
      <c r="E11" s="52" t="s">
        <v>18</v>
      </c>
      <c r="F11" s="54">
        <v>13.68</v>
      </c>
      <c r="G11" s="55">
        <f t="shared" si="1"/>
        <v>1</v>
      </c>
      <c r="H11" s="56"/>
      <c r="I11" s="54">
        <v>1.65</v>
      </c>
      <c r="J11" s="55">
        <f t="shared" si="2"/>
        <v>91</v>
      </c>
      <c r="K11" s="56"/>
      <c r="L11" s="54">
        <v>3.5</v>
      </c>
      <c r="M11" s="55">
        <v>0</v>
      </c>
      <c r="N11" s="56"/>
      <c r="O11" s="57">
        <v>0.0015993055555555554</v>
      </c>
      <c r="P11" s="55">
        <f>IF(O11&gt;0,ROUNDDOWN(((400/(O11*86400))-2.81)/0.00716,0)," ")</f>
        <v>11</v>
      </c>
      <c r="Q11" s="58"/>
      <c r="R11" s="59">
        <f t="shared" si="0"/>
        <v>103</v>
      </c>
      <c r="S11" s="60">
        <v>4</v>
      </c>
    </row>
    <row r="12" spans="1:19" s="1" customFormat="1" ht="15" customHeight="1">
      <c r="A12" s="51">
        <v>1</v>
      </c>
      <c r="B12" s="52" t="s">
        <v>80</v>
      </c>
      <c r="C12" s="52" t="s">
        <v>81</v>
      </c>
      <c r="D12" s="53">
        <v>2006</v>
      </c>
      <c r="E12" s="52" t="s">
        <v>18</v>
      </c>
      <c r="F12" s="54">
        <v>13.58</v>
      </c>
      <c r="G12" s="55">
        <f t="shared" si="1"/>
        <v>5</v>
      </c>
      <c r="H12" s="56"/>
      <c r="I12" s="54">
        <v>1.52</v>
      </c>
      <c r="J12" s="55">
        <f t="shared" si="2"/>
        <v>67</v>
      </c>
      <c r="K12" s="56"/>
      <c r="L12" s="54">
        <v>2.5</v>
      </c>
      <c r="M12" s="55">
        <v>0</v>
      </c>
      <c r="N12" s="56"/>
      <c r="O12" s="57">
        <v>0.0016292824074074074</v>
      </c>
      <c r="P12" s="55">
        <f>IF(O12&gt;0,ROUNDDOWN(((400/(O12*86400))-2.81)/0.00716,0)," ")</f>
        <v>4</v>
      </c>
      <c r="Q12" s="58"/>
      <c r="R12" s="59">
        <f t="shared" si="0"/>
        <v>76</v>
      </c>
      <c r="S12" s="60">
        <v>5</v>
      </c>
    </row>
    <row r="13" spans="1:19" s="1" customFormat="1" ht="15" customHeight="1">
      <c r="A13" s="51">
        <v>7</v>
      </c>
      <c r="B13" s="52" t="s">
        <v>17</v>
      </c>
      <c r="C13" s="52" t="s">
        <v>82</v>
      </c>
      <c r="D13" s="53">
        <v>2006</v>
      </c>
      <c r="E13" s="52" t="s">
        <v>18</v>
      </c>
      <c r="F13" s="54">
        <v>12.83</v>
      </c>
      <c r="G13" s="55">
        <f t="shared" si="1"/>
        <v>37</v>
      </c>
      <c r="H13" s="56"/>
      <c r="I13" s="54">
        <v>1.31</v>
      </c>
      <c r="J13" s="55">
        <f t="shared" si="2"/>
        <v>24</v>
      </c>
      <c r="K13" s="56"/>
      <c r="L13" s="54">
        <v>4.5</v>
      </c>
      <c r="M13" s="55">
        <f>IF(L13&gt;0,ROUNDDOWN((SQRT(L13)-2.0232)/0.00874,0)," ")</f>
        <v>11</v>
      </c>
      <c r="N13" s="56"/>
      <c r="O13" s="57">
        <v>0.0017259259259259259</v>
      </c>
      <c r="P13" s="55">
        <v>0</v>
      </c>
      <c r="Q13" s="58"/>
      <c r="R13" s="59">
        <f t="shared" si="0"/>
        <v>72</v>
      </c>
      <c r="S13" s="60">
        <v>6</v>
      </c>
    </row>
    <row r="14" spans="1:19" s="1" customFormat="1" ht="15" customHeight="1">
      <c r="A14" s="51">
        <v>3</v>
      </c>
      <c r="B14" s="52" t="s">
        <v>24</v>
      </c>
      <c r="C14" s="52" t="s">
        <v>83</v>
      </c>
      <c r="D14" s="53">
        <v>2006</v>
      </c>
      <c r="E14" s="52" t="s">
        <v>18</v>
      </c>
      <c r="F14" s="54">
        <v>13.42</v>
      </c>
      <c r="G14" s="55">
        <f t="shared" si="1"/>
        <v>11</v>
      </c>
      <c r="H14" s="56"/>
      <c r="I14" s="54">
        <v>1.12</v>
      </c>
      <c r="J14" s="55">
        <v>0</v>
      </c>
      <c r="K14" s="56"/>
      <c r="L14" s="54">
        <v>3.5</v>
      </c>
      <c r="M14" s="55">
        <v>0</v>
      </c>
      <c r="N14" s="56"/>
      <c r="O14" s="57">
        <v>0.0017121527777777777</v>
      </c>
      <c r="P14" s="55">
        <v>0</v>
      </c>
      <c r="Q14" s="58"/>
      <c r="R14" s="59">
        <f t="shared" si="0"/>
        <v>11</v>
      </c>
      <c r="S14" s="60">
        <v>7</v>
      </c>
    </row>
    <row r="15" spans="1:19" s="1" customFormat="1" ht="15" customHeight="1">
      <c r="A15" s="51">
        <v>255</v>
      </c>
      <c r="B15" s="61" t="s">
        <v>84</v>
      </c>
      <c r="C15" s="61" t="s">
        <v>85</v>
      </c>
      <c r="D15" s="62">
        <v>2006</v>
      </c>
      <c r="E15" s="63" t="s">
        <v>18</v>
      </c>
      <c r="F15" s="54">
        <v>13.85</v>
      </c>
      <c r="G15" s="55">
        <v>0</v>
      </c>
      <c r="H15" s="56"/>
      <c r="I15" s="54">
        <v>0.77</v>
      </c>
      <c r="J15" s="55">
        <v>0</v>
      </c>
      <c r="K15" s="56"/>
      <c r="L15" s="54">
        <v>4.5</v>
      </c>
      <c r="M15" s="55">
        <f aca="true" t="shared" si="3" ref="M15:M31">IF(L15&gt;0,ROUNDDOWN((SQRT(L15)-2.0232)/0.00874,0)," ")</f>
        <v>11</v>
      </c>
      <c r="N15" s="56"/>
      <c r="O15" s="57">
        <v>0.0017006944444444441</v>
      </c>
      <c r="P15" s="55">
        <v>0</v>
      </c>
      <c r="Q15" s="58"/>
      <c r="R15" s="59">
        <f t="shared" si="0"/>
        <v>11</v>
      </c>
      <c r="S15" s="60">
        <v>7</v>
      </c>
    </row>
    <row r="16" spans="1:19" s="1" customFormat="1" ht="12" customHeight="1">
      <c r="A16" s="51"/>
      <c r="B16" s="61"/>
      <c r="C16" s="61"/>
      <c r="D16" s="62"/>
      <c r="E16" s="63"/>
      <c r="F16" s="54"/>
      <c r="G16" s="55" t="str">
        <f aca="true" t="shared" si="4" ref="G16:G31">IF(F16&gt;0,ROUNDDOWN(((50/F16)-3.648)/0.0066,0)," ")</f>
        <v> </v>
      </c>
      <c r="H16" s="56"/>
      <c r="I16" s="54"/>
      <c r="J16" s="55" t="str">
        <f aca="true" t="shared" si="5" ref="J16:J31">IF(I16&gt;0,ROUNDDOWN((SQRT(I16)-1.0935)/0.00208,0)," ")</f>
        <v> </v>
      </c>
      <c r="K16" s="56"/>
      <c r="L16" s="54"/>
      <c r="M16" s="55" t="str">
        <f t="shared" si="3"/>
        <v> </v>
      </c>
      <c r="N16" s="56"/>
      <c r="O16" s="57"/>
      <c r="P16" s="55" t="str">
        <f>IF(O16&gt;0,ROUNDDOWN(((400/(O16*86400))-2.81)/0.00716,0)," ")</f>
        <v> </v>
      </c>
      <c r="Q16" s="58"/>
      <c r="R16" s="59">
        <f t="shared" si="0"/>
        <v>0</v>
      </c>
      <c r="S16" s="60"/>
    </row>
    <row r="17" spans="1:19" s="1" customFormat="1" ht="15" customHeight="1">
      <c r="A17" s="51">
        <v>166</v>
      </c>
      <c r="B17" s="52" t="s">
        <v>26</v>
      </c>
      <c r="C17" s="52" t="s">
        <v>86</v>
      </c>
      <c r="D17" s="53">
        <v>2005</v>
      </c>
      <c r="E17" s="52" t="s">
        <v>31</v>
      </c>
      <c r="F17" s="54">
        <v>11.04</v>
      </c>
      <c r="G17" s="55">
        <f t="shared" si="4"/>
        <v>133</v>
      </c>
      <c r="H17" s="56"/>
      <c r="I17" s="54">
        <v>2.27</v>
      </c>
      <c r="J17" s="55">
        <f t="shared" si="5"/>
        <v>198</v>
      </c>
      <c r="K17" s="56"/>
      <c r="L17" s="54">
        <v>8</v>
      </c>
      <c r="M17" s="55">
        <f t="shared" si="3"/>
        <v>92</v>
      </c>
      <c r="N17" s="56"/>
      <c r="O17" s="57">
        <v>0.0013233796296296299</v>
      </c>
      <c r="P17" s="55">
        <f>IF(O17&gt;0,ROUNDDOWN(((400/(O17*86400))-2.81)/0.00716,0)," ")</f>
        <v>96</v>
      </c>
      <c r="Q17" s="58"/>
      <c r="R17" s="59">
        <f t="shared" si="0"/>
        <v>519</v>
      </c>
      <c r="S17" s="60">
        <v>1</v>
      </c>
    </row>
    <row r="18" spans="1:19" s="1" customFormat="1" ht="15" customHeight="1">
      <c r="A18" s="51">
        <v>50</v>
      </c>
      <c r="B18" s="52" t="s">
        <v>87</v>
      </c>
      <c r="C18" s="52" t="s">
        <v>88</v>
      </c>
      <c r="D18" s="53">
        <v>2005</v>
      </c>
      <c r="E18" s="52" t="s">
        <v>18</v>
      </c>
      <c r="F18" s="54">
        <v>11.52</v>
      </c>
      <c r="G18" s="55">
        <f t="shared" si="4"/>
        <v>104</v>
      </c>
      <c r="H18" s="56"/>
      <c r="I18" s="54">
        <v>1.7</v>
      </c>
      <c r="J18" s="55">
        <f t="shared" si="5"/>
        <v>101</v>
      </c>
      <c r="K18" s="56"/>
      <c r="L18" s="54">
        <v>8.5</v>
      </c>
      <c r="M18" s="55">
        <f t="shared" si="3"/>
        <v>102</v>
      </c>
      <c r="N18" s="56"/>
      <c r="O18" s="57">
        <v>0.001477314814814815</v>
      </c>
      <c r="P18" s="55">
        <f>IF(O18&gt;0,ROUNDDOWN(((400/(O18*86400))-2.81)/0.00716,0)," ")</f>
        <v>45</v>
      </c>
      <c r="Q18" s="58"/>
      <c r="R18" s="59">
        <f t="shared" si="0"/>
        <v>352</v>
      </c>
      <c r="S18" s="60">
        <v>2</v>
      </c>
    </row>
    <row r="19" spans="1:19" s="1" customFormat="1" ht="15" customHeight="1">
      <c r="A19" s="51">
        <v>180</v>
      </c>
      <c r="B19" s="64" t="s">
        <v>89</v>
      </c>
      <c r="C19" s="64" t="s">
        <v>90</v>
      </c>
      <c r="D19" s="62">
        <v>2005</v>
      </c>
      <c r="E19" s="63" t="s">
        <v>16</v>
      </c>
      <c r="F19" s="54">
        <v>11.85</v>
      </c>
      <c r="G19" s="55">
        <f t="shared" si="4"/>
        <v>86</v>
      </c>
      <c r="H19" s="56"/>
      <c r="I19" s="54">
        <v>1.48</v>
      </c>
      <c r="J19" s="55">
        <f t="shared" si="5"/>
        <v>59</v>
      </c>
      <c r="K19" s="56"/>
      <c r="L19" s="54">
        <v>8.5</v>
      </c>
      <c r="M19" s="55">
        <f t="shared" si="3"/>
        <v>102</v>
      </c>
      <c r="N19" s="56"/>
      <c r="O19" s="57">
        <v>0.0013355324074074075</v>
      </c>
      <c r="P19" s="55">
        <f>IF(O19&gt;0,ROUNDDOWN(((400/(O19*86400))-2.81)/0.00716,0)," ")</f>
        <v>91</v>
      </c>
      <c r="Q19" s="58"/>
      <c r="R19" s="59">
        <f t="shared" si="0"/>
        <v>338</v>
      </c>
      <c r="S19" s="60">
        <v>3</v>
      </c>
    </row>
    <row r="20" spans="1:19" ht="15" customHeight="1">
      <c r="A20" s="51">
        <v>9</v>
      </c>
      <c r="B20" s="52" t="s">
        <v>91</v>
      </c>
      <c r="C20" s="52" t="s">
        <v>92</v>
      </c>
      <c r="D20" s="53">
        <v>2005</v>
      </c>
      <c r="E20" s="52" t="s">
        <v>18</v>
      </c>
      <c r="F20" s="54">
        <v>12.17</v>
      </c>
      <c r="G20" s="55">
        <f t="shared" si="4"/>
        <v>69</v>
      </c>
      <c r="H20" s="56"/>
      <c r="I20" s="54">
        <v>1.59</v>
      </c>
      <c r="J20" s="55">
        <f t="shared" si="5"/>
        <v>80</v>
      </c>
      <c r="K20" s="56"/>
      <c r="L20" s="54">
        <v>5.5</v>
      </c>
      <c r="M20" s="55">
        <f t="shared" si="3"/>
        <v>36</v>
      </c>
      <c r="N20" s="56"/>
      <c r="O20" s="57">
        <v>0.0014300925925925928</v>
      </c>
      <c r="P20" s="55">
        <f>IF(O20&gt;0,ROUNDDOWN(((400/(O20*86400))-2.81)/0.00716,0)," ")</f>
        <v>59</v>
      </c>
      <c r="Q20" s="58"/>
      <c r="R20" s="59">
        <f t="shared" si="0"/>
        <v>244</v>
      </c>
      <c r="S20" s="60">
        <v>4</v>
      </c>
    </row>
    <row r="21" spans="1:19" ht="15" customHeight="1">
      <c r="A21" s="51">
        <v>10</v>
      </c>
      <c r="B21" s="64" t="s">
        <v>93</v>
      </c>
      <c r="C21" s="64" t="s">
        <v>94</v>
      </c>
      <c r="D21" s="62">
        <v>2005</v>
      </c>
      <c r="E21" s="52" t="s">
        <v>18</v>
      </c>
      <c r="F21" s="54">
        <v>12.08</v>
      </c>
      <c r="G21" s="55">
        <f t="shared" si="4"/>
        <v>74</v>
      </c>
      <c r="H21" s="56"/>
      <c r="I21" s="54">
        <v>1.79</v>
      </c>
      <c r="J21" s="55">
        <f t="shared" si="5"/>
        <v>117</v>
      </c>
      <c r="K21" s="56"/>
      <c r="L21" s="54">
        <v>6</v>
      </c>
      <c r="M21" s="55">
        <f t="shared" si="3"/>
        <v>48</v>
      </c>
      <c r="N21" s="56"/>
      <c r="O21" s="57">
        <v>0.0016574074074074076</v>
      </c>
      <c r="P21" s="55">
        <v>0</v>
      </c>
      <c r="Q21" s="58"/>
      <c r="R21" s="59">
        <f t="shared" si="0"/>
        <v>239</v>
      </c>
      <c r="S21" s="60">
        <v>5</v>
      </c>
    </row>
    <row r="22" spans="1:19" ht="12" customHeight="1">
      <c r="A22" s="51"/>
      <c r="B22" s="52"/>
      <c r="C22" s="52"/>
      <c r="D22" s="53"/>
      <c r="E22" s="52"/>
      <c r="F22" s="54"/>
      <c r="G22" s="55" t="str">
        <f t="shared" si="4"/>
        <v> </v>
      </c>
      <c r="H22" s="56"/>
      <c r="I22" s="54"/>
      <c r="J22" s="55" t="str">
        <f t="shared" si="5"/>
        <v> </v>
      </c>
      <c r="K22" s="56"/>
      <c r="L22" s="54"/>
      <c r="M22" s="55" t="str">
        <f t="shared" si="3"/>
        <v> </v>
      </c>
      <c r="N22" s="56"/>
      <c r="O22" s="57"/>
      <c r="P22" s="55" t="str">
        <f aca="true" t="shared" si="6" ref="P22:P31">IF(O22&gt;0,ROUNDDOWN(((400/(O22*86400))-2.81)/0.00716,0)," ")</f>
        <v> </v>
      </c>
      <c r="Q22" s="58"/>
      <c r="R22" s="59">
        <f t="shared" si="0"/>
        <v>0</v>
      </c>
      <c r="S22" s="60"/>
    </row>
    <row r="23" spans="1:19" ht="15" customHeight="1">
      <c r="A23" s="51">
        <v>234</v>
      </c>
      <c r="B23" s="52" t="s">
        <v>95</v>
      </c>
      <c r="C23" s="52" t="s">
        <v>96</v>
      </c>
      <c r="D23" s="53">
        <v>2004</v>
      </c>
      <c r="E23" s="52" t="s">
        <v>27</v>
      </c>
      <c r="F23" s="54">
        <v>9.01</v>
      </c>
      <c r="G23" s="55">
        <f t="shared" si="4"/>
        <v>288</v>
      </c>
      <c r="H23" s="56"/>
      <c r="I23" s="54">
        <v>3.18</v>
      </c>
      <c r="J23" s="55">
        <f t="shared" si="5"/>
        <v>331</v>
      </c>
      <c r="K23" s="56"/>
      <c r="L23" s="54">
        <v>14.5</v>
      </c>
      <c r="M23" s="55">
        <f t="shared" si="3"/>
        <v>204</v>
      </c>
      <c r="N23" s="56"/>
      <c r="O23" s="57">
        <v>0.0010401620370370371</v>
      </c>
      <c r="P23" s="55">
        <f t="shared" si="6"/>
        <v>229</v>
      </c>
      <c r="Q23" s="58"/>
      <c r="R23" s="59">
        <f t="shared" si="0"/>
        <v>1052</v>
      </c>
      <c r="S23" s="60">
        <v>1</v>
      </c>
    </row>
    <row r="24" spans="1:19" ht="15" customHeight="1">
      <c r="A24" s="51">
        <v>187</v>
      </c>
      <c r="B24" s="52" t="s">
        <v>97</v>
      </c>
      <c r="C24" s="52" t="s">
        <v>98</v>
      </c>
      <c r="D24" s="53">
        <v>2004</v>
      </c>
      <c r="E24" s="52" t="s">
        <v>16</v>
      </c>
      <c r="F24" s="54">
        <v>9.36</v>
      </c>
      <c r="G24" s="55">
        <f t="shared" si="4"/>
        <v>256</v>
      </c>
      <c r="H24" s="56"/>
      <c r="I24" s="54">
        <v>2.96</v>
      </c>
      <c r="J24" s="55">
        <f t="shared" si="5"/>
        <v>301</v>
      </c>
      <c r="K24" s="56"/>
      <c r="L24" s="54">
        <v>10</v>
      </c>
      <c r="M24" s="55">
        <f t="shared" si="3"/>
        <v>130</v>
      </c>
      <c r="N24" s="56"/>
      <c r="O24" s="57">
        <v>0.0010688657407407407</v>
      </c>
      <c r="P24" s="55">
        <f t="shared" si="6"/>
        <v>212</v>
      </c>
      <c r="Q24" s="58"/>
      <c r="R24" s="59">
        <f t="shared" si="0"/>
        <v>899</v>
      </c>
      <c r="S24" s="60">
        <v>2</v>
      </c>
    </row>
    <row r="25" spans="1:19" ht="15" customHeight="1">
      <c r="A25" s="51">
        <v>164</v>
      </c>
      <c r="B25" s="52" t="s">
        <v>99</v>
      </c>
      <c r="C25" s="52" t="s">
        <v>100</v>
      </c>
      <c r="D25" s="53">
        <v>2004</v>
      </c>
      <c r="E25" s="52" t="s">
        <v>31</v>
      </c>
      <c r="F25" s="54">
        <v>9.49</v>
      </c>
      <c r="G25" s="55">
        <f t="shared" si="4"/>
        <v>245</v>
      </c>
      <c r="H25" s="56"/>
      <c r="I25" s="54">
        <v>2.78</v>
      </c>
      <c r="J25" s="55">
        <f t="shared" si="5"/>
        <v>275</v>
      </c>
      <c r="K25" s="56"/>
      <c r="L25" s="54">
        <v>9</v>
      </c>
      <c r="M25" s="55">
        <f t="shared" si="3"/>
        <v>111</v>
      </c>
      <c r="N25" s="56"/>
      <c r="O25" s="57">
        <v>0.0011782407407407408</v>
      </c>
      <c r="P25" s="55">
        <f t="shared" si="6"/>
        <v>156</v>
      </c>
      <c r="Q25" s="58"/>
      <c r="R25" s="59">
        <f t="shared" si="0"/>
        <v>787</v>
      </c>
      <c r="S25" s="60">
        <v>3</v>
      </c>
    </row>
    <row r="26" spans="1:19" ht="15" customHeight="1">
      <c r="A26" s="51">
        <v>190</v>
      </c>
      <c r="B26" s="64" t="s">
        <v>101</v>
      </c>
      <c r="C26" s="64" t="s">
        <v>102</v>
      </c>
      <c r="D26" s="62">
        <v>2004</v>
      </c>
      <c r="E26" s="63" t="s">
        <v>16</v>
      </c>
      <c r="F26" s="54">
        <v>9.73</v>
      </c>
      <c r="G26" s="55">
        <f t="shared" si="4"/>
        <v>225</v>
      </c>
      <c r="H26" s="56"/>
      <c r="I26" s="54">
        <v>2.6</v>
      </c>
      <c r="J26" s="55">
        <f t="shared" si="5"/>
        <v>249</v>
      </c>
      <c r="K26" s="56"/>
      <c r="L26" s="54">
        <v>9.5</v>
      </c>
      <c r="M26" s="55">
        <f t="shared" si="3"/>
        <v>121</v>
      </c>
      <c r="N26" s="56"/>
      <c r="O26" s="57">
        <v>0.001198148148148148</v>
      </c>
      <c r="P26" s="55">
        <f t="shared" si="6"/>
        <v>147</v>
      </c>
      <c r="Q26" s="58"/>
      <c r="R26" s="59">
        <f t="shared" si="0"/>
        <v>742</v>
      </c>
      <c r="S26" s="60">
        <v>4</v>
      </c>
    </row>
    <row r="27" spans="1:19" ht="15" customHeight="1">
      <c r="A27" s="51">
        <v>11</v>
      </c>
      <c r="B27" s="64" t="s">
        <v>103</v>
      </c>
      <c r="C27" s="65" t="s">
        <v>104</v>
      </c>
      <c r="D27" s="62">
        <v>2004</v>
      </c>
      <c r="E27" s="63" t="s">
        <v>18</v>
      </c>
      <c r="F27" s="54">
        <v>10.03</v>
      </c>
      <c r="G27" s="55">
        <f t="shared" si="4"/>
        <v>202</v>
      </c>
      <c r="H27" s="56"/>
      <c r="I27" s="54">
        <v>2.37</v>
      </c>
      <c r="J27" s="55">
        <f t="shared" si="5"/>
        <v>214</v>
      </c>
      <c r="K27" s="56"/>
      <c r="L27" s="54">
        <v>9</v>
      </c>
      <c r="M27" s="55">
        <f t="shared" si="3"/>
        <v>111</v>
      </c>
      <c r="N27" s="56"/>
      <c r="O27" s="57">
        <v>0.001163425925925926</v>
      </c>
      <c r="P27" s="55">
        <f t="shared" si="6"/>
        <v>163</v>
      </c>
      <c r="Q27" s="58"/>
      <c r="R27" s="59">
        <f t="shared" si="0"/>
        <v>690</v>
      </c>
      <c r="S27" s="60">
        <v>5</v>
      </c>
    </row>
    <row r="28" spans="1:19" ht="15" customHeight="1">
      <c r="A28" s="51">
        <v>173</v>
      </c>
      <c r="B28" s="52" t="s">
        <v>72</v>
      </c>
      <c r="C28" s="52" t="s">
        <v>105</v>
      </c>
      <c r="D28" s="53">
        <v>2004</v>
      </c>
      <c r="E28" s="52" t="s">
        <v>31</v>
      </c>
      <c r="F28" s="54">
        <v>10.56</v>
      </c>
      <c r="G28" s="55">
        <f t="shared" si="4"/>
        <v>164</v>
      </c>
      <c r="H28" s="56"/>
      <c r="I28" s="54">
        <v>2.27</v>
      </c>
      <c r="J28" s="55">
        <f t="shared" si="5"/>
        <v>198</v>
      </c>
      <c r="K28" s="56"/>
      <c r="L28" s="54">
        <v>12</v>
      </c>
      <c r="M28" s="55">
        <f t="shared" si="3"/>
        <v>164</v>
      </c>
      <c r="N28" s="56"/>
      <c r="O28" s="57">
        <v>0.0012731481481481483</v>
      </c>
      <c r="P28" s="55">
        <f t="shared" si="6"/>
        <v>115</v>
      </c>
      <c r="Q28" s="58"/>
      <c r="R28" s="59">
        <f t="shared" si="0"/>
        <v>641</v>
      </c>
      <c r="S28" s="60">
        <v>6</v>
      </c>
    </row>
    <row r="29" spans="1:19" ht="15" customHeight="1">
      <c r="A29" s="51">
        <v>184</v>
      </c>
      <c r="B29" s="64" t="s">
        <v>106</v>
      </c>
      <c r="C29" s="64" t="s">
        <v>107</v>
      </c>
      <c r="D29" s="62">
        <v>2004</v>
      </c>
      <c r="E29" s="63" t="s">
        <v>16</v>
      </c>
      <c r="F29" s="54">
        <v>10.27</v>
      </c>
      <c r="G29" s="55">
        <f t="shared" si="4"/>
        <v>184</v>
      </c>
      <c r="H29" s="56"/>
      <c r="I29" s="54">
        <v>2.09</v>
      </c>
      <c r="J29" s="55">
        <f t="shared" si="5"/>
        <v>169</v>
      </c>
      <c r="K29" s="56"/>
      <c r="L29" s="54">
        <v>4.5</v>
      </c>
      <c r="M29" s="55">
        <f t="shared" si="3"/>
        <v>11</v>
      </c>
      <c r="N29" s="56"/>
      <c r="O29" s="57">
        <v>0.0012340277777777777</v>
      </c>
      <c r="P29" s="55">
        <f t="shared" si="6"/>
        <v>131</v>
      </c>
      <c r="Q29" s="58"/>
      <c r="R29" s="59">
        <f t="shared" si="0"/>
        <v>495</v>
      </c>
      <c r="S29" s="60">
        <v>7</v>
      </c>
    </row>
    <row r="30" spans="1:19" ht="15" customHeight="1">
      <c r="A30" s="51">
        <v>12</v>
      </c>
      <c r="B30" s="64" t="s">
        <v>108</v>
      </c>
      <c r="C30" s="64" t="s">
        <v>109</v>
      </c>
      <c r="D30" s="62">
        <v>2004</v>
      </c>
      <c r="E30" s="63" t="s">
        <v>18</v>
      </c>
      <c r="F30" s="54">
        <v>10.18</v>
      </c>
      <c r="G30" s="55">
        <f t="shared" si="4"/>
        <v>191</v>
      </c>
      <c r="H30" s="56"/>
      <c r="I30" s="54">
        <v>1.77</v>
      </c>
      <c r="J30" s="55">
        <f t="shared" si="5"/>
        <v>113</v>
      </c>
      <c r="K30" s="56"/>
      <c r="L30" s="54">
        <v>6</v>
      </c>
      <c r="M30" s="55">
        <f t="shared" si="3"/>
        <v>48</v>
      </c>
      <c r="N30" s="56"/>
      <c r="O30" s="57">
        <v>0.001301851851851852</v>
      </c>
      <c r="P30" s="55">
        <f t="shared" si="6"/>
        <v>104</v>
      </c>
      <c r="Q30" s="58"/>
      <c r="R30" s="59">
        <f t="shared" si="0"/>
        <v>456</v>
      </c>
      <c r="S30" s="60">
        <v>8</v>
      </c>
    </row>
    <row r="31" spans="1:19" ht="12" customHeight="1">
      <c r="A31" s="51"/>
      <c r="B31" s="61"/>
      <c r="C31" s="61"/>
      <c r="D31" s="62"/>
      <c r="E31" s="63"/>
      <c r="F31" s="54"/>
      <c r="G31" s="55" t="str">
        <f t="shared" si="4"/>
        <v> </v>
      </c>
      <c r="H31" s="56"/>
      <c r="I31" s="54"/>
      <c r="J31" s="55" t="str">
        <f t="shared" si="5"/>
        <v> </v>
      </c>
      <c r="K31" s="56"/>
      <c r="L31" s="54"/>
      <c r="M31" s="55" t="str">
        <f t="shared" si="3"/>
        <v> </v>
      </c>
      <c r="N31" s="56"/>
      <c r="O31" s="57"/>
      <c r="P31" s="55" t="str">
        <f t="shared" si="6"/>
        <v> </v>
      </c>
      <c r="Q31" s="58"/>
      <c r="R31" s="59">
        <f t="shared" si="0"/>
        <v>0</v>
      </c>
      <c r="S31" s="60"/>
    </row>
    <row r="32" spans="16:19" ht="12.75">
      <c r="P32" s="35"/>
      <c r="Q32" s="35"/>
      <c r="R32" s="35"/>
      <c r="S32" s="35"/>
    </row>
    <row r="33" spans="16:19" ht="12.75">
      <c r="P33" s="35"/>
      <c r="Q33" s="35"/>
      <c r="R33" s="35"/>
      <c r="S33" s="35"/>
    </row>
    <row r="34" spans="16:19" ht="12.75">
      <c r="P34" s="35"/>
      <c r="Q34" s="35"/>
      <c r="R34" s="35"/>
      <c r="S34" s="35"/>
    </row>
    <row r="35" spans="16:19" ht="12.75">
      <c r="P35" s="35"/>
      <c r="Q35" s="35"/>
      <c r="R35" s="35"/>
      <c r="S35" s="35"/>
    </row>
    <row r="36" spans="16:19" ht="12.75">
      <c r="P36" s="35"/>
      <c r="Q36" s="35"/>
      <c r="R36" s="35"/>
      <c r="S36" s="35"/>
    </row>
    <row r="37" spans="16:19" ht="12.75">
      <c r="P37" s="35"/>
      <c r="Q37" s="35"/>
      <c r="R37" s="35"/>
      <c r="S37" s="35"/>
    </row>
    <row r="38" spans="16:19" ht="12.75">
      <c r="P38" s="35"/>
      <c r="Q38" s="35"/>
      <c r="R38" s="35"/>
      <c r="S38" s="35"/>
    </row>
    <row r="39" spans="16:19" ht="12.75">
      <c r="P39" s="35"/>
      <c r="Q39" s="35"/>
      <c r="R39" s="35"/>
      <c r="S39" s="35"/>
    </row>
    <row r="40" spans="16:19" ht="12.75">
      <c r="P40" s="35"/>
      <c r="Q40" s="35"/>
      <c r="R40" s="35"/>
      <c r="S40" s="35"/>
    </row>
    <row r="41" spans="16:19" ht="12.75">
      <c r="P41" s="35"/>
      <c r="Q41" s="35"/>
      <c r="R41" s="35"/>
      <c r="S41" s="35"/>
    </row>
    <row r="42" spans="16:19" ht="12.75">
      <c r="P42" s="35"/>
      <c r="Q42" s="35"/>
      <c r="R42" s="35"/>
      <c r="S42" s="35"/>
    </row>
    <row r="43" spans="16:19" ht="12.75">
      <c r="P43" s="35"/>
      <c r="Q43" s="35"/>
      <c r="R43" s="35"/>
      <c r="S43" s="35"/>
    </row>
    <row r="44" spans="16:19" ht="12.75">
      <c r="P44" s="35"/>
      <c r="Q44" s="35"/>
      <c r="R44" s="35"/>
      <c r="S44" s="35"/>
    </row>
    <row r="45" spans="16:19" ht="12.75">
      <c r="P45" s="35"/>
      <c r="Q45" s="35"/>
      <c r="R45" s="35"/>
      <c r="S45" s="35"/>
    </row>
    <row r="46" spans="16:19" ht="12.75">
      <c r="P46" s="35"/>
      <c r="Q46" s="35"/>
      <c r="R46" s="35"/>
      <c r="S46" s="35"/>
    </row>
    <row r="47" spans="16:19" ht="12.75">
      <c r="P47" s="35"/>
      <c r="Q47" s="35"/>
      <c r="R47" s="35"/>
      <c r="S47" s="35"/>
    </row>
    <row r="48" spans="16:19" ht="12.75">
      <c r="P48" s="35"/>
      <c r="Q48" s="35"/>
      <c r="R48" s="35"/>
      <c r="S48" s="35"/>
    </row>
    <row r="49" spans="16:19" ht="12.75">
      <c r="P49" s="35"/>
      <c r="Q49" s="35"/>
      <c r="R49" s="35"/>
      <c r="S49" s="35"/>
    </row>
    <row r="50" spans="16:19" ht="12.75">
      <c r="P50" s="35"/>
      <c r="Q50" s="35"/>
      <c r="R50" s="35"/>
      <c r="S50" s="35"/>
    </row>
    <row r="51" spans="16:19" ht="12.75">
      <c r="P51" s="35"/>
      <c r="Q51" s="35"/>
      <c r="R51" s="35"/>
      <c r="S51" s="35"/>
    </row>
  </sheetData>
  <sheetProtection/>
  <mergeCells count="12">
    <mergeCell ref="E3:E4"/>
    <mergeCell ref="F3:H3"/>
    <mergeCell ref="I3:K3"/>
    <mergeCell ref="L3:N3"/>
    <mergeCell ref="O3:Q3"/>
    <mergeCell ref="R3:S3"/>
    <mergeCell ref="A1:I1"/>
    <mergeCell ref="L1:N1"/>
    <mergeCell ref="A3:A4"/>
    <mergeCell ref="B3:B4"/>
    <mergeCell ref="C3:C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96" zoomScaleNormal="96"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1" customWidth="1"/>
    <col min="5" max="5" width="19.66015625" style="0" customWidth="1"/>
    <col min="6" max="6" width="7.33203125" style="3" customWidth="1"/>
    <col min="7" max="7" width="5.83203125" style="0" customWidth="1"/>
    <col min="8" max="8" width="4.33203125" style="0" customWidth="1"/>
    <col min="9" max="9" width="7.33203125" style="3" customWidth="1"/>
    <col min="10" max="10" width="5.83203125" style="0" customWidth="1"/>
    <col min="11" max="11" width="4.33203125" style="0" customWidth="1"/>
    <col min="12" max="12" width="7.33203125" style="3" customWidth="1"/>
    <col min="13" max="13" width="5.83203125" style="0" customWidth="1"/>
    <col min="14" max="14" width="4.33203125" style="0" customWidth="1"/>
    <col min="15" max="15" width="10.83203125" style="4" customWidth="1"/>
    <col min="16" max="16" width="5.83203125" style="0" customWidth="1"/>
    <col min="17" max="17" width="4.3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6" customFormat="1" ht="18.75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5"/>
      <c r="L1" s="80"/>
      <c r="M1" s="80"/>
      <c r="N1" s="80"/>
      <c r="O1" s="7"/>
      <c r="P1" s="8" t="s">
        <v>148</v>
      </c>
      <c r="S1" s="8" t="s">
        <v>22</v>
      </c>
    </row>
    <row r="2" ht="12.75" customHeight="1"/>
    <row r="3" spans="1:19" ht="15.75">
      <c r="A3" s="81" t="s">
        <v>2</v>
      </c>
      <c r="B3" s="82" t="s">
        <v>3</v>
      </c>
      <c r="C3" s="82" t="s">
        <v>4</v>
      </c>
      <c r="D3" s="81" t="s">
        <v>5</v>
      </c>
      <c r="E3" s="82" t="s">
        <v>6</v>
      </c>
      <c r="F3" s="84" t="s">
        <v>7</v>
      </c>
      <c r="G3" s="84"/>
      <c r="H3" s="84"/>
      <c r="I3" s="77" t="s">
        <v>8</v>
      </c>
      <c r="J3" s="77"/>
      <c r="K3" s="77"/>
      <c r="L3" s="77" t="s">
        <v>9</v>
      </c>
      <c r="M3" s="77"/>
      <c r="N3" s="77"/>
      <c r="O3" s="77" t="s">
        <v>288</v>
      </c>
      <c r="P3" s="77"/>
      <c r="Q3" s="77"/>
      <c r="R3" s="78" t="s">
        <v>11</v>
      </c>
      <c r="S3" s="78"/>
    </row>
    <row r="4" spans="1:19" s="1" customFormat="1" ht="15.75">
      <c r="A4" s="81"/>
      <c r="B4" s="82"/>
      <c r="C4" s="82"/>
      <c r="D4" s="81"/>
      <c r="E4" s="82"/>
      <c r="F4" s="9" t="s">
        <v>12</v>
      </c>
      <c r="G4" s="10" t="s">
        <v>13</v>
      </c>
      <c r="H4" s="11"/>
      <c r="I4" s="12" t="s">
        <v>14</v>
      </c>
      <c r="J4" s="10" t="s">
        <v>13</v>
      </c>
      <c r="K4" s="11"/>
      <c r="L4" s="12" t="s">
        <v>14</v>
      </c>
      <c r="M4" s="10" t="s">
        <v>13</v>
      </c>
      <c r="N4" s="11"/>
      <c r="O4" s="13" t="s">
        <v>12</v>
      </c>
      <c r="P4" s="10" t="s">
        <v>13</v>
      </c>
      <c r="Q4" s="11"/>
      <c r="R4" s="14" t="s">
        <v>13</v>
      </c>
      <c r="S4" s="15" t="s">
        <v>15</v>
      </c>
    </row>
    <row r="5" spans="1:19" ht="12" customHeight="1">
      <c r="A5" s="28"/>
      <c r="B5" s="29"/>
      <c r="C5" s="29"/>
      <c r="D5" s="36"/>
      <c r="E5" s="29"/>
      <c r="F5" s="20"/>
      <c r="G5" s="21" t="str">
        <f>IF(F5&gt;0,ROUNDDOWN(((50/F5)-3.79)/0.0069,0)," ")</f>
        <v> </v>
      </c>
      <c r="H5" s="22"/>
      <c r="I5" s="23"/>
      <c r="J5" s="21" t="str">
        <f>IF(I5&gt;0,ROUNDDOWN((SQRT(I5)-1.15028)/0.00219,0)," ")</f>
        <v> </v>
      </c>
      <c r="K5" s="22"/>
      <c r="L5" s="23"/>
      <c r="M5" s="21" t="str">
        <f>IF(L5&gt;0,ROUNDDOWN((SQRT(L5)-2.8)/0.011,0)," ")</f>
        <v> </v>
      </c>
      <c r="N5" s="22"/>
      <c r="O5" s="24"/>
      <c r="P5" s="21" t="str">
        <f>IF(O5&gt;0,ROUNDDOWN(((1000/(O5*86400))-2.158)/0.006,0)," ")</f>
        <v> </v>
      </c>
      <c r="Q5" s="25"/>
      <c r="R5" s="26"/>
      <c r="S5" s="27"/>
    </row>
    <row r="6" spans="1:19" ht="15.75">
      <c r="A6" s="51">
        <v>221</v>
      </c>
      <c r="B6" s="64" t="s">
        <v>110</v>
      </c>
      <c r="C6" s="64" t="s">
        <v>111</v>
      </c>
      <c r="D6" s="62">
        <v>2003</v>
      </c>
      <c r="E6" s="63" t="s">
        <v>29</v>
      </c>
      <c r="F6" s="66">
        <v>9.01</v>
      </c>
      <c r="G6" s="55">
        <f aca="true" t="shared" si="0" ref="G6:G31">IF(F6&gt;0,ROUNDDOWN(((50/F6)-3.648)/0.0066,0)," ")</f>
        <v>288</v>
      </c>
      <c r="H6" s="56"/>
      <c r="I6" s="54">
        <v>3.24</v>
      </c>
      <c r="J6" s="55">
        <f aca="true" t="shared" si="1" ref="J6:J31">IF(I6&gt;0,ROUNDDOWN((SQRT(I6)-1.0935)/0.00208,0)," ")</f>
        <v>339</v>
      </c>
      <c r="K6" s="56"/>
      <c r="L6" s="54">
        <v>24</v>
      </c>
      <c r="M6" s="55">
        <f aca="true" t="shared" si="2" ref="M6:M31">IF(L6&gt;0,ROUNDDOWN((SQRT(L6)-2.0232)/0.00874,0)," ")</f>
        <v>329</v>
      </c>
      <c r="N6" s="56"/>
      <c r="O6" s="57">
        <v>0.0022260416666666665</v>
      </c>
      <c r="P6" s="55">
        <f aca="true" t="shared" si="3" ref="P6:P15">IF(O6&gt;0,ROUNDDOWN(((800/(O6*86400))-2.0232)/0.00647,0)," ")</f>
        <v>330</v>
      </c>
      <c r="Q6" s="58"/>
      <c r="R6" s="59">
        <f aca="true" t="shared" si="4" ref="R6:R30">SUM(G6,J6,M6,P6)</f>
        <v>1286</v>
      </c>
      <c r="S6" s="60">
        <v>1</v>
      </c>
    </row>
    <row r="7" spans="1:19" ht="15.75">
      <c r="A7" s="51">
        <v>167</v>
      </c>
      <c r="B7" s="64" t="s">
        <v>112</v>
      </c>
      <c r="C7" s="64" t="s">
        <v>73</v>
      </c>
      <c r="D7" s="62">
        <v>2003</v>
      </c>
      <c r="E7" s="63" t="s">
        <v>31</v>
      </c>
      <c r="F7" s="66">
        <v>8.77</v>
      </c>
      <c r="G7" s="55">
        <f t="shared" si="0"/>
        <v>311</v>
      </c>
      <c r="H7" s="56"/>
      <c r="I7" s="54">
        <v>3.33</v>
      </c>
      <c r="J7" s="55">
        <f t="shared" si="1"/>
        <v>351</v>
      </c>
      <c r="K7" s="56"/>
      <c r="L7" s="54">
        <v>16</v>
      </c>
      <c r="M7" s="55">
        <f t="shared" si="2"/>
        <v>226</v>
      </c>
      <c r="N7" s="56"/>
      <c r="O7" s="57">
        <v>0.002211574074074074</v>
      </c>
      <c r="P7" s="55">
        <f t="shared" si="3"/>
        <v>334</v>
      </c>
      <c r="Q7" s="58"/>
      <c r="R7" s="59">
        <f t="shared" si="4"/>
        <v>1222</v>
      </c>
      <c r="S7" s="60">
        <v>2</v>
      </c>
    </row>
    <row r="8" spans="1:19" ht="15.75">
      <c r="A8" s="51">
        <v>216</v>
      </c>
      <c r="B8" s="64" t="s">
        <v>28</v>
      </c>
      <c r="C8" s="64" t="s">
        <v>113</v>
      </c>
      <c r="D8" s="62">
        <v>2003</v>
      </c>
      <c r="E8" s="63" t="s">
        <v>29</v>
      </c>
      <c r="F8" s="66">
        <v>9.69</v>
      </c>
      <c r="G8" s="55">
        <f t="shared" si="0"/>
        <v>229</v>
      </c>
      <c r="H8" s="56"/>
      <c r="I8" s="54">
        <v>2.88</v>
      </c>
      <c r="J8" s="55">
        <f t="shared" si="1"/>
        <v>290</v>
      </c>
      <c r="K8" s="56"/>
      <c r="L8" s="54">
        <v>17</v>
      </c>
      <c r="M8" s="55">
        <f t="shared" si="2"/>
        <v>240</v>
      </c>
      <c r="N8" s="56"/>
      <c r="O8" s="57">
        <v>0.0023387731481481484</v>
      </c>
      <c r="P8" s="55">
        <f t="shared" si="3"/>
        <v>299</v>
      </c>
      <c r="Q8" s="58"/>
      <c r="R8" s="59">
        <f t="shared" si="4"/>
        <v>1058</v>
      </c>
      <c r="S8" s="60">
        <v>3</v>
      </c>
    </row>
    <row r="9" spans="1:19" ht="15.75">
      <c r="A9" s="51">
        <v>162</v>
      </c>
      <c r="B9" s="52" t="s">
        <v>114</v>
      </c>
      <c r="C9" s="52" t="s">
        <v>115</v>
      </c>
      <c r="D9" s="53">
        <v>2003</v>
      </c>
      <c r="E9" s="52" t="s">
        <v>31</v>
      </c>
      <c r="F9" s="66">
        <v>9.45</v>
      </c>
      <c r="G9" s="55">
        <f t="shared" si="0"/>
        <v>248</v>
      </c>
      <c r="H9" s="56"/>
      <c r="I9" s="54">
        <v>2.79</v>
      </c>
      <c r="J9" s="55">
        <f t="shared" si="1"/>
        <v>277</v>
      </c>
      <c r="K9" s="56"/>
      <c r="L9" s="54">
        <v>15.5</v>
      </c>
      <c r="M9" s="55">
        <f t="shared" si="2"/>
        <v>218</v>
      </c>
      <c r="N9" s="56"/>
      <c r="O9" s="57">
        <v>0.002649652777777778</v>
      </c>
      <c r="P9" s="55">
        <f t="shared" si="3"/>
        <v>227</v>
      </c>
      <c r="Q9" s="58"/>
      <c r="R9" s="59">
        <f t="shared" si="4"/>
        <v>970</v>
      </c>
      <c r="S9" s="60">
        <v>4</v>
      </c>
    </row>
    <row r="10" spans="1:19" ht="15.75">
      <c r="A10" s="51">
        <v>93</v>
      </c>
      <c r="B10" s="52" t="s">
        <v>116</v>
      </c>
      <c r="C10" s="52" t="s">
        <v>117</v>
      </c>
      <c r="D10" s="53">
        <v>2003</v>
      </c>
      <c r="E10" s="52" t="s">
        <v>32</v>
      </c>
      <c r="F10" s="66">
        <v>9.53</v>
      </c>
      <c r="G10" s="55">
        <f t="shared" si="0"/>
        <v>242</v>
      </c>
      <c r="H10" s="56"/>
      <c r="I10" s="54">
        <v>2.61</v>
      </c>
      <c r="J10" s="55">
        <f t="shared" si="1"/>
        <v>250</v>
      </c>
      <c r="K10" s="56"/>
      <c r="L10" s="54">
        <v>12.5</v>
      </c>
      <c r="M10" s="55">
        <f t="shared" si="2"/>
        <v>173</v>
      </c>
      <c r="N10" s="56"/>
      <c r="O10" s="57">
        <v>0.002350347222222222</v>
      </c>
      <c r="P10" s="55">
        <f t="shared" si="3"/>
        <v>296</v>
      </c>
      <c r="Q10" s="58"/>
      <c r="R10" s="59">
        <f t="shared" si="4"/>
        <v>961</v>
      </c>
      <c r="S10" s="60">
        <v>5</v>
      </c>
    </row>
    <row r="11" spans="1:19" s="1" customFormat="1" ht="15.75">
      <c r="A11" s="51">
        <v>19</v>
      </c>
      <c r="B11" s="64" t="s">
        <v>118</v>
      </c>
      <c r="C11" s="64" t="s">
        <v>119</v>
      </c>
      <c r="D11" s="62">
        <v>2003</v>
      </c>
      <c r="E11" s="52" t="s">
        <v>18</v>
      </c>
      <c r="F11" s="66">
        <v>9.85</v>
      </c>
      <c r="G11" s="55">
        <f t="shared" si="0"/>
        <v>216</v>
      </c>
      <c r="H11" s="56"/>
      <c r="I11" s="54">
        <v>2.7</v>
      </c>
      <c r="J11" s="55">
        <f t="shared" si="1"/>
        <v>264</v>
      </c>
      <c r="K11" s="56"/>
      <c r="L11" s="54">
        <v>15.5</v>
      </c>
      <c r="M11" s="55">
        <f t="shared" si="2"/>
        <v>218</v>
      </c>
      <c r="N11" s="56"/>
      <c r="O11" s="57">
        <v>0.0027409722222222223</v>
      </c>
      <c r="P11" s="55">
        <f t="shared" si="3"/>
        <v>209</v>
      </c>
      <c r="Q11" s="58"/>
      <c r="R11" s="59">
        <f t="shared" si="4"/>
        <v>907</v>
      </c>
      <c r="S11" s="60">
        <v>6</v>
      </c>
    </row>
    <row r="12" spans="1:19" ht="15.75">
      <c r="A12" s="51">
        <v>183</v>
      </c>
      <c r="B12" s="64" t="s">
        <v>106</v>
      </c>
      <c r="C12" s="64" t="s">
        <v>120</v>
      </c>
      <c r="D12" s="62">
        <v>2003</v>
      </c>
      <c r="E12" s="63" t="s">
        <v>16</v>
      </c>
      <c r="F12" s="66">
        <v>9.52</v>
      </c>
      <c r="G12" s="55">
        <f t="shared" si="0"/>
        <v>243</v>
      </c>
      <c r="H12" s="56"/>
      <c r="I12" s="54">
        <v>2.63</v>
      </c>
      <c r="J12" s="55">
        <f t="shared" si="1"/>
        <v>253</v>
      </c>
      <c r="K12" s="56"/>
      <c r="L12" s="54">
        <v>10</v>
      </c>
      <c r="M12" s="55">
        <f t="shared" si="2"/>
        <v>130</v>
      </c>
      <c r="N12" s="56"/>
      <c r="O12" s="57">
        <v>0.0025452546296296295</v>
      </c>
      <c r="P12" s="55">
        <f t="shared" si="3"/>
        <v>249</v>
      </c>
      <c r="Q12" s="58"/>
      <c r="R12" s="59">
        <f t="shared" si="4"/>
        <v>875</v>
      </c>
      <c r="S12" s="60">
        <v>7</v>
      </c>
    </row>
    <row r="13" spans="1:19" ht="15.75">
      <c r="A13" s="51">
        <v>20</v>
      </c>
      <c r="B13" s="67" t="s">
        <v>72</v>
      </c>
      <c r="C13" s="68" t="s">
        <v>121</v>
      </c>
      <c r="D13" s="62">
        <v>2003</v>
      </c>
      <c r="E13" s="63" t="s">
        <v>18</v>
      </c>
      <c r="F13" s="66">
        <v>10.45</v>
      </c>
      <c r="G13" s="55">
        <f t="shared" si="0"/>
        <v>172</v>
      </c>
      <c r="H13" s="56"/>
      <c r="I13" s="54">
        <v>2.38</v>
      </c>
      <c r="J13" s="55">
        <f t="shared" si="1"/>
        <v>215</v>
      </c>
      <c r="K13" s="56"/>
      <c r="L13" s="54">
        <v>15</v>
      </c>
      <c r="M13" s="55">
        <f t="shared" si="2"/>
        <v>211</v>
      </c>
      <c r="N13" s="56"/>
      <c r="O13" s="57">
        <v>0.0026939814814814812</v>
      </c>
      <c r="P13" s="55">
        <f t="shared" si="3"/>
        <v>218</v>
      </c>
      <c r="Q13" s="58"/>
      <c r="R13" s="59">
        <f t="shared" si="4"/>
        <v>816</v>
      </c>
      <c r="S13" s="60">
        <v>8</v>
      </c>
    </row>
    <row r="14" spans="1:19" s="1" customFormat="1" ht="15.75">
      <c r="A14" s="51">
        <v>15</v>
      </c>
      <c r="B14" s="67" t="s">
        <v>35</v>
      </c>
      <c r="C14" s="67" t="s">
        <v>122</v>
      </c>
      <c r="D14" s="62">
        <v>2003</v>
      </c>
      <c r="E14" s="63" t="s">
        <v>18</v>
      </c>
      <c r="F14" s="66">
        <v>10.43</v>
      </c>
      <c r="G14" s="55">
        <f t="shared" si="0"/>
        <v>173</v>
      </c>
      <c r="H14" s="56"/>
      <c r="I14" s="54">
        <v>2.41</v>
      </c>
      <c r="J14" s="55">
        <f t="shared" si="1"/>
        <v>220</v>
      </c>
      <c r="K14" s="56"/>
      <c r="L14" s="54">
        <v>12</v>
      </c>
      <c r="M14" s="55">
        <f t="shared" si="2"/>
        <v>164</v>
      </c>
      <c r="N14" s="56"/>
      <c r="O14" s="57">
        <v>0.0027565972222222223</v>
      </c>
      <c r="P14" s="55">
        <f t="shared" si="3"/>
        <v>206</v>
      </c>
      <c r="Q14" s="58"/>
      <c r="R14" s="59">
        <f t="shared" si="4"/>
        <v>763</v>
      </c>
      <c r="S14" s="60">
        <v>9</v>
      </c>
    </row>
    <row r="15" spans="1:19" s="1" customFormat="1" ht="15.75">
      <c r="A15" s="51">
        <v>18</v>
      </c>
      <c r="B15" s="64" t="s">
        <v>123</v>
      </c>
      <c r="C15" s="64" t="s">
        <v>124</v>
      </c>
      <c r="D15" s="62">
        <v>2003</v>
      </c>
      <c r="E15" s="52" t="s">
        <v>18</v>
      </c>
      <c r="F15" s="66">
        <v>10.48</v>
      </c>
      <c r="G15" s="55">
        <f t="shared" si="0"/>
        <v>170</v>
      </c>
      <c r="H15" s="56"/>
      <c r="I15" s="54">
        <v>2.47</v>
      </c>
      <c r="J15" s="55">
        <f t="shared" si="1"/>
        <v>229</v>
      </c>
      <c r="K15" s="56"/>
      <c r="L15" s="54">
        <v>8.5</v>
      </c>
      <c r="M15" s="55">
        <f t="shared" si="2"/>
        <v>102</v>
      </c>
      <c r="N15" s="56"/>
      <c r="O15" s="57">
        <v>0.0027665509259259258</v>
      </c>
      <c r="P15" s="55">
        <f t="shared" si="3"/>
        <v>204</v>
      </c>
      <c r="Q15" s="58"/>
      <c r="R15" s="59">
        <f t="shared" si="4"/>
        <v>705</v>
      </c>
      <c r="S15" s="60">
        <v>10</v>
      </c>
    </row>
    <row r="16" spans="1:19" ht="15.75">
      <c r="A16" s="51">
        <v>16</v>
      </c>
      <c r="B16" s="52" t="s">
        <v>19</v>
      </c>
      <c r="C16" s="52" t="s">
        <v>125</v>
      </c>
      <c r="D16" s="53">
        <v>2003</v>
      </c>
      <c r="E16" s="52" t="s">
        <v>18</v>
      </c>
      <c r="F16" s="66">
        <v>9.95</v>
      </c>
      <c r="G16" s="55">
        <f t="shared" si="0"/>
        <v>208</v>
      </c>
      <c r="H16" s="56"/>
      <c r="I16" s="54">
        <v>2.45</v>
      </c>
      <c r="J16" s="55">
        <f t="shared" si="1"/>
        <v>226</v>
      </c>
      <c r="K16" s="56"/>
      <c r="L16" s="54">
        <v>11</v>
      </c>
      <c r="M16" s="55">
        <f t="shared" si="2"/>
        <v>147</v>
      </c>
      <c r="N16" s="56"/>
      <c r="O16" s="57" t="s">
        <v>36</v>
      </c>
      <c r="P16" s="55">
        <v>0</v>
      </c>
      <c r="Q16" s="58"/>
      <c r="R16" s="59">
        <f t="shared" si="4"/>
        <v>581</v>
      </c>
      <c r="S16" s="60">
        <v>11</v>
      </c>
    </row>
    <row r="17" spans="1:19" ht="12" customHeight="1">
      <c r="A17" s="51"/>
      <c r="B17" s="61"/>
      <c r="C17" s="61"/>
      <c r="D17" s="62"/>
      <c r="E17" s="63"/>
      <c r="F17" s="66"/>
      <c r="G17" s="55" t="str">
        <f t="shared" si="0"/>
        <v> </v>
      </c>
      <c r="H17" s="56"/>
      <c r="I17" s="54"/>
      <c r="J17" s="55" t="str">
        <f t="shared" si="1"/>
        <v> </v>
      </c>
      <c r="K17" s="56"/>
      <c r="L17" s="54"/>
      <c r="M17" s="55" t="str">
        <f t="shared" si="2"/>
        <v> </v>
      </c>
      <c r="N17" s="56"/>
      <c r="O17" s="57"/>
      <c r="P17" s="55" t="str">
        <f aca="true" t="shared" si="5" ref="P17:P30">IF(O17&gt;0,ROUNDDOWN(((800/(O17*86400))-2.0232)/0.00647,0)," ")</f>
        <v> </v>
      </c>
      <c r="Q17" s="58"/>
      <c r="R17" s="59">
        <f t="shared" si="4"/>
        <v>0</v>
      </c>
      <c r="S17" s="60"/>
    </row>
    <row r="18" spans="1:19" ht="15.75">
      <c r="A18" s="51">
        <v>193</v>
      </c>
      <c r="B18" s="52" t="s">
        <v>126</v>
      </c>
      <c r="C18" s="52" t="s">
        <v>127</v>
      </c>
      <c r="D18" s="53">
        <v>2002</v>
      </c>
      <c r="E18" s="52" t="s">
        <v>16</v>
      </c>
      <c r="F18" s="66">
        <v>8.19</v>
      </c>
      <c r="G18" s="55">
        <f t="shared" si="0"/>
        <v>372</v>
      </c>
      <c r="H18" s="56"/>
      <c r="I18" s="54">
        <v>3.96</v>
      </c>
      <c r="J18" s="55">
        <f t="shared" si="1"/>
        <v>430</v>
      </c>
      <c r="K18" s="56"/>
      <c r="L18" s="54">
        <v>23</v>
      </c>
      <c r="M18" s="55">
        <f t="shared" si="2"/>
        <v>317</v>
      </c>
      <c r="N18" s="56"/>
      <c r="O18" s="57">
        <v>0.0021943287037037035</v>
      </c>
      <c r="P18" s="55">
        <f t="shared" si="5"/>
        <v>339</v>
      </c>
      <c r="Q18" s="58"/>
      <c r="R18" s="59">
        <f t="shared" si="4"/>
        <v>1458</v>
      </c>
      <c r="S18" s="60">
        <v>1</v>
      </c>
    </row>
    <row r="19" spans="1:19" ht="15.75">
      <c r="A19" s="51">
        <v>21</v>
      </c>
      <c r="B19" s="67" t="s">
        <v>128</v>
      </c>
      <c r="C19" s="67" t="s">
        <v>129</v>
      </c>
      <c r="D19" s="62">
        <v>2002</v>
      </c>
      <c r="E19" s="63" t="s">
        <v>18</v>
      </c>
      <c r="F19" s="66">
        <v>8.29</v>
      </c>
      <c r="G19" s="55">
        <f t="shared" si="0"/>
        <v>361</v>
      </c>
      <c r="H19" s="56"/>
      <c r="I19" s="54">
        <v>3.7</v>
      </c>
      <c r="J19" s="55">
        <f t="shared" si="1"/>
        <v>399</v>
      </c>
      <c r="K19" s="56"/>
      <c r="L19" s="54">
        <v>23.5</v>
      </c>
      <c r="M19" s="55">
        <f t="shared" si="2"/>
        <v>323</v>
      </c>
      <c r="N19" s="56"/>
      <c r="O19" s="57">
        <v>0.0021849537037037037</v>
      </c>
      <c r="P19" s="55">
        <f t="shared" si="5"/>
        <v>342</v>
      </c>
      <c r="Q19" s="58"/>
      <c r="R19" s="59">
        <f t="shared" si="4"/>
        <v>1425</v>
      </c>
      <c r="S19" s="60">
        <v>2</v>
      </c>
    </row>
    <row r="20" spans="1:19" ht="15.75">
      <c r="A20" s="51">
        <v>218</v>
      </c>
      <c r="B20" s="64" t="s">
        <v>130</v>
      </c>
      <c r="C20" s="64" t="s">
        <v>131</v>
      </c>
      <c r="D20" s="62">
        <v>2002</v>
      </c>
      <c r="E20" s="63" t="s">
        <v>29</v>
      </c>
      <c r="F20" s="66">
        <v>8.72</v>
      </c>
      <c r="G20" s="55">
        <f t="shared" si="0"/>
        <v>316</v>
      </c>
      <c r="H20" s="56"/>
      <c r="I20" s="54">
        <v>3.33</v>
      </c>
      <c r="J20" s="55">
        <f t="shared" si="1"/>
        <v>351</v>
      </c>
      <c r="K20" s="56"/>
      <c r="L20" s="54">
        <v>31.5</v>
      </c>
      <c r="M20" s="55">
        <f t="shared" si="2"/>
        <v>410</v>
      </c>
      <c r="N20" s="56"/>
      <c r="O20" s="57">
        <v>0.0023649305555555554</v>
      </c>
      <c r="P20" s="55">
        <f t="shared" si="5"/>
        <v>292</v>
      </c>
      <c r="Q20" s="58"/>
      <c r="R20" s="59">
        <f t="shared" si="4"/>
        <v>1369</v>
      </c>
      <c r="S20" s="60">
        <v>3</v>
      </c>
    </row>
    <row r="21" spans="1:19" ht="15.75">
      <c r="A21" s="51">
        <v>210</v>
      </c>
      <c r="B21" s="52" t="s">
        <v>41</v>
      </c>
      <c r="C21" s="52" t="s">
        <v>132</v>
      </c>
      <c r="D21" s="53">
        <v>2002</v>
      </c>
      <c r="E21" s="52" t="s">
        <v>42</v>
      </c>
      <c r="F21" s="66">
        <v>8.25</v>
      </c>
      <c r="G21" s="55">
        <f t="shared" si="0"/>
        <v>365</v>
      </c>
      <c r="H21" s="56"/>
      <c r="I21" s="54">
        <v>3.5</v>
      </c>
      <c r="J21" s="55">
        <f t="shared" si="1"/>
        <v>373</v>
      </c>
      <c r="K21" s="56"/>
      <c r="L21" s="54">
        <v>18</v>
      </c>
      <c r="M21" s="55">
        <f t="shared" si="2"/>
        <v>253</v>
      </c>
      <c r="N21" s="56"/>
      <c r="O21" s="57">
        <v>0.0022679398148148146</v>
      </c>
      <c r="P21" s="55">
        <f t="shared" si="5"/>
        <v>318</v>
      </c>
      <c r="Q21" s="58"/>
      <c r="R21" s="59">
        <f t="shared" si="4"/>
        <v>1309</v>
      </c>
      <c r="S21" s="60">
        <v>4</v>
      </c>
    </row>
    <row r="22" spans="1:19" ht="15.75">
      <c r="A22" s="51">
        <v>192</v>
      </c>
      <c r="B22" s="52" t="s">
        <v>133</v>
      </c>
      <c r="C22" s="52" t="s">
        <v>134</v>
      </c>
      <c r="D22" s="53">
        <v>2002</v>
      </c>
      <c r="E22" s="52" t="s">
        <v>16</v>
      </c>
      <c r="F22" s="66">
        <v>8.83</v>
      </c>
      <c r="G22" s="55">
        <f t="shared" si="0"/>
        <v>305</v>
      </c>
      <c r="H22" s="56"/>
      <c r="I22" s="54">
        <v>3.39</v>
      </c>
      <c r="J22" s="55">
        <f t="shared" si="1"/>
        <v>359</v>
      </c>
      <c r="K22" s="56"/>
      <c r="L22" s="54">
        <v>18.5</v>
      </c>
      <c r="M22" s="55">
        <f t="shared" si="2"/>
        <v>260</v>
      </c>
      <c r="N22" s="56"/>
      <c r="O22" s="57">
        <v>0.0022277777777777777</v>
      </c>
      <c r="P22" s="55">
        <f t="shared" si="5"/>
        <v>329</v>
      </c>
      <c r="Q22" s="58"/>
      <c r="R22" s="59">
        <f t="shared" si="4"/>
        <v>1253</v>
      </c>
      <c r="S22" s="60">
        <v>5</v>
      </c>
    </row>
    <row r="23" spans="1:19" ht="15.75">
      <c r="A23" s="51">
        <v>24</v>
      </c>
      <c r="B23" s="64" t="s">
        <v>135</v>
      </c>
      <c r="C23" s="64" t="s">
        <v>136</v>
      </c>
      <c r="D23" s="62">
        <v>2002</v>
      </c>
      <c r="E23" s="63" t="s">
        <v>18</v>
      </c>
      <c r="F23" s="66">
        <v>8.89</v>
      </c>
      <c r="G23" s="55">
        <f t="shared" si="0"/>
        <v>299</v>
      </c>
      <c r="H23" s="56"/>
      <c r="I23" s="54">
        <v>3.08</v>
      </c>
      <c r="J23" s="55">
        <f t="shared" si="1"/>
        <v>318</v>
      </c>
      <c r="K23" s="56"/>
      <c r="L23" s="54">
        <v>22.5</v>
      </c>
      <c r="M23" s="55">
        <f t="shared" si="2"/>
        <v>311</v>
      </c>
      <c r="N23" s="56"/>
      <c r="O23" s="57">
        <v>0.0022855324074074076</v>
      </c>
      <c r="P23" s="55">
        <f t="shared" si="5"/>
        <v>313</v>
      </c>
      <c r="Q23" s="58"/>
      <c r="R23" s="59">
        <f t="shared" si="4"/>
        <v>1241</v>
      </c>
      <c r="S23" s="60">
        <v>6</v>
      </c>
    </row>
    <row r="24" spans="1:19" ht="15.75">
      <c r="A24" s="51">
        <v>156</v>
      </c>
      <c r="B24" s="52" t="s">
        <v>137</v>
      </c>
      <c r="C24" s="52" t="s">
        <v>138</v>
      </c>
      <c r="D24" s="53">
        <v>2002</v>
      </c>
      <c r="E24" s="63" t="s">
        <v>31</v>
      </c>
      <c r="F24" s="66">
        <v>8.86</v>
      </c>
      <c r="G24" s="55">
        <f t="shared" si="0"/>
        <v>302</v>
      </c>
      <c r="H24" s="56"/>
      <c r="I24" s="54">
        <v>3.3</v>
      </c>
      <c r="J24" s="55">
        <f t="shared" si="1"/>
        <v>347</v>
      </c>
      <c r="K24" s="56"/>
      <c r="L24" s="54">
        <v>15</v>
      </c>
      <c r="M24" s="55">
        <f t="shared" si="2"/>
        <v>211</v>
      </c>
      <c r="N24" s="56"/>
      <c r="O24" s="57">
        <v>0.002104050925925926</v>
      </c>
      <c r="P24" s="55">
        <f t="shared" si="5"/>
        <v>367</v>
      </c>
      <c r="Q24" s="58"/>
      <c r="R24" s="59">
        <f t="shared" si="4"/>
        <v>1227</v>
      </c>
      <c r="S24" s="60">
        <v>7</v>
      </c>
    </row>
    <row r="25" spans="1:19" ht="15.75">
      <c r="A25" s="51">
        <v>25</v>
      </c>
      <c r="B25" s="67" t="s">
        <v>139</v>
      </c>
      <c r="C25" s="67" t="s">
        <v>140</v>
      </c>
      <c r="D25" s="62">
        <v>2002</v>
      </c>
      <c r="E25" s="63" t="s">
        <v>18</v>
      </c>
      <c r="F25" s="66">
        <v>9.14</v>
      </c>
      <c r="G25" s="55">
        <f t="shared" si="0"/>
        <v>276</v>
      </c>
      <c r="H25" s="56"/>
      <c r="I25" s="54">
        <v>2.93</v>
      </c>
      <c r="J25" s="55">
        <f t="shared" si="1"/>
        <v>297</v>
      </c>
      <c r="K25" s="56"/>
      <c r="L25" s="54">
        <v>17.5</v>
      </c>
      <c r="M25" s="55">
        <f t="shared" si="2"/>
        <v>247</v>
      </c>
      <c r="N25" s="56"/>
      <c r="O25" s="57">
        <v>0.002307060185185185</v>
      </c>
      <c r="P25" s="55">
        <f t="shared" si="5"/>
        <v>307</v>
      </c>
      <c r="Q25" s="58"/>
      <c r="R25" s="59">
        <f t="shared" si="4"/>
        <v>1127</v>
      </c>
      <c r="S25" s="60">
        <v>8</v>
      </c>
    </row>
    <row r="26" spans="1:19" ht="15.75">
      <c r="A26" s="51">
        <v>23</v>
      </c>
      <c r="B26" s="52" t="s">
        <v>133</v>
      </c>
      <c r="C26" s="52" t="s">
        <v>141</v>
      </c>
      <c r="D26" s="53">
        <v>2002</v>
      </c>
      <c r="E26" s="52" t="s">
        <v>18</v>
      </c>
      <c r="F26" s="66">
        <v>9.28</v>
      </c>
      <c r="G26" s="55">
        <f t="shared" si="0"/>
        <v>263</v>
      </c>
      <c r="H26" s="56"/>
      <c r="I26" s="54">
        <v>3</v>
      </c>
      <c r="J26" s="55">
        <f t="shared" si="1"/>
        <v>306</v>
      </c>
      <c r="K26" s="56"/>
      <c r="L26" s="54">
        <v>16.5</v>
      </c>
      <c r="M26" s="55">
        <f t="shared" si="2"/>
        <v>233</v>
      </c>
      <c r="N26" s="56"/>
      <c r="O26" s="57">
        <v>0.002536111111111111</v>
      </c>
      <c r="P26" s="55">
        <f t="shared" si="5"/>
        <v>251</v>
      </c>
      <c r="Q26" s="58"/>
      <c r="R26" s="59">
        <f t="shared" si="4"/>
        <v>1053</v>
      </c>
      <c r="S26" s="60">
        <v>9</v>
      </c>
    </row>
    <row r="27" spans="1:19" ht="15.75">
      <c r="A27" s="51">
        <v>22</v>
      </c>
      <c r="B27" s="52" t="s">
        <v>142</v>
      </c>
      <c r="C27" s="52" t="s">
        <v>143</v>
      </c>
      <c r="D27" s="53">
        <v>2002</v>
      </c>
      <c r="E27" s="52" t="s">
        <v>18</v>
      </c>
      <c r="F27" s="66">
        <v>9.37</v>
      </c>
      <c r="G27" s="55">
        <f t="shared" si="0"/>
        <v>255</v>
      </c>
      <c r="H27" s="56"/>
      <c r="I27" s="54">
        <v>2.89</v>
      </c>
      <c r="J27" s="55">
        <f t="shared" si="1"/>
        <v>291</v>
      </c>
      <c r="K27" s="56"/>
      <c r="L27" s="54">
        <v>12</v>
      </c>
      <c r="M27" s="55">
        <f t="shared" si="2"/>
        <v>164</v>
      </c>
      <c r="N27" s="56"/>
      <c r="O27" s="57">
        <v>0.0023155092592592593</v>
      </c>
      <c r="P27" s="55">
        <f t="shared" si="5"/>
        <v>305</v>
      </c>
      <c r="Q27" s="58"/>
      <c r="R27" s="59">
        <f t="shared" si="4"/>
        <v>1015</v>
      </c>
      <c r="S27" s="60">
        <v>10</v>
      </c>
    </row>
    <row r="28" spans="1:19" ht="15.75">
      <c r="A28" s="51">
        <v>174</v>
      </c>
      <c r="B28" s="52" t="s">
        <v>144</v>
      </c>
      <c r="C28" s="52" t="s">
        <v>145</v>
      </c>
      <c r="D28" s="53">
        <v>2002</v>
      </c>
      <c r="E28" s="52" t="s">
        <v>31</v>
      </c>
      <c r="F28" s="66">
        <v>9.57</v>
      </c>
      <c r="G28" s="55">
        <f t="shared" si="0"/>
        <v>238</v>
      </c>
      <c r="H28" s="56"/>
      <c r="I28" s="54">
        <v>2.8</v>
      </c>
      <c r="J28" s="55">
        <f t="shared" si="1"/>
        <v>278</v>
      </c>
      <c r="K28" s="56"/>
      <c r="L28" s="54">
        <v>21</v>
      </c>
      <c r="M28" s="55">
        <f t="shared" si="2"/>
        <v>292</v>
      </c>
      <c r="N28" s="56"/>
      <c r="O28" s="57">
        <v>0.0029263888888888894</v>
      </c>
      <c r="P28" s="55">
        <f t="shared" si="5"/>
        <v>176</v>
      </c>
      <c r="Q28" s="58"/>
      <c r="R28" s="59">
        <f t="shared" si="4"/>
        <v>984</v>
      </c>
      <c r="S28" s="60">
        <v>11</v>
      </c>
    </row>
    <row r="29" spans="1:19" ht="15.75">
      <c r="A29" s="51">
        <v>26</v>
      </c>
      <c r="B29" s="67" t="s">
        <v>139</v>
      </c>
      <c r="C29" s="67" t="s">
        <v>129</v>
      </c>
      <c r="D29" s="62">
        <v>2002</v>
      </c>
      <c r="E29" s="63" t="s">
        <v>18</v>
      </c>
      <c r="F29" s="66">
        <v>10.06</v>
      </c>
      <c r="G29" s="55">
        <f t="shared" si="0"/>
        <v>200</v>
      </c>
      <c r="H29" s="56"/>
      <c r="I29" s="54">
        <v>2.58</v>
      </c>
      <c r="J29" s="55">
        <f t="shared" si="1"/>
        <v>246</v>
      </c>
      <c r="K29" s="56"/>
      <c r="L29" s="54">
        <v>12</v>
      </c>
      <c r="M29" s="55">
        <f t="shared" si="2"/>
        <v>164</v>
      </c>
      <c r="N29" s="56"/>
      <c r="O29" s="57">
        <v>0.002644444444444444</v>
      </c>
      <c r="P29" s="55">
        <f t="shared" si="5"/>
        <v>228</v>
      </c>
      <c r="Q29" s="58"/>
      <c r="R29" s="59">
        <f t="shared" si="4"/>
        <v>838</v>
      </c>
      <c r="S29" s="60">
        <v>12</v>
      </c>
    </row>
    <row r="30" spans="1:19" ht="15.75">
      <c r="A30" s="51">
        <v>106</v>
      </c>
      <c r="B30" s="52" t="s">
        <v>146</v>
      </c>
      <c r="C30" s="52" t="s">
        <v>147</v>
      </c>
      <c r="D30" s="53">
        <v>2002</v>
      </c>
      <c r="E30" s="52" t="s">
        <v>32</v>
      </c>
      <c r="F30" s="66">
        <v>10.38</v>
      </c>
      <c r="G30" s="55">
        <f t="shared" si="0"/>
        <v>177</v>
      </c>
      <c r="H30" s="56"/>
      <c r="I30" s="54">
        <v>2.64</v>
      </c>
      <c r="J30" s="55">
        <f t="shared" si="1"/>
        <v>255</v>
      </c>
      <c r="K30" s="56"/>
      <c r="L30" s="54">
        <v>9.5</v>
      </c>
      <c r="M30" s="55">
        <f t="shared" si="2"/>
        <v>121</v>
      </c>
      <c r="N30" s="56"/>
      <c r="O30" s="57">
        <v>0.0029798611111111115</v>
      </c>
      <c r="P30" s="55">
        <f t="shared" si="5"/>
        <v>167</v>
      </c>
      <c r="Q30" s="58"/>
      <c r="R30" s="59">
        <f t="shared" si="4"/>
        <v>720</v>
      </c>
      <c r="S30" s="60">
        <v>13</v>
      </c>
    </row>
    <row r="31" spans="1:19" ht="12" customHeight="1">
      <c r="A31" s="51"/>
      <c r="B31" s="61"/>
      <c r="C31" s="61"/>
      <c r="D31" s="62"/>
      <c r="E31" s="63"/>
      <c r="F31" s="66"/>
      <c r="G31" s="55" t="str">
        <f t="shared" si="0"/>
        <v> </v>
      </c>
      <c r="H31" s="56"/>
      <c r="I31" s="54"/>
      <c r="J31" s="55" t="str">
        <f t="shared" si="1"/>
        <v> </v>
      </c>
      <c r="K31" s="56"/>
      <c r="L31" s="54"/>
      <c r="M31" s="55" t="str">
        <f t="shared" si="2"/>
        <v> </v>
      </c>
      <c r="N31" s="56"/>
      <c r="O31" s="57"/>
      <c r="P31" s="55" t="str">
        <f>IF(O31&gt;0,ROUNDDOWN(((800/(O31*86400))-2.0232)/0.00647,0)," ")</f>
        <v> </v>
      </c>
      <c r="Q31" s="58"/>
      <c r="R31" s="59">
        <f>SUM(G31,J31,M31,P31)</f>
        <v>0</v>
      </c>
      <c r="S31" s="60"/>
    </row>
    <row r="32" spans="16:19" ht="12.75">
      <c r="P32" s="35"/>
      <c r="Q32" s="35"/>
      <c r="R32" s="35"/>
      <c r="S32" s="35"/>
    </row>
    <row r="33" spans="16:19" ht="12.75">
      <c r="P33" s="35"/>
      <c r="Q33" s="35"/>
      <c r="R33" s="35"/>
      <c r="S33" s="35"/>
    </row>
    <row r="34" spans="16:19" ht="12.75">
      <c r="P34" s="35"/>
      <c r="Q34" s="35"/>
      <c r="R34" s="35"/>
      <c r="S34" s="35"/>
    </row>
    <row r="35" spans="16:19" ht="12.75">
      <c r="P35" s="35"/>
      <c r="Q35" s="35"/>
      <c r="R35" s="35"/>
      <c r="S35" s="35"/>
    </row>
    <row r="36" spans="16:19" ht="12.75">
      <c r="P36" s="35"/>
      <c r="Q36" s="35"/>
      <c r="R36" s="35"/>
      <c r="S36" s="35"/>
    </row>
    <row r="37" spans="16:19" ht="12.75">
      <c r="P37" s="35"/>
      <c r="Q37" s="35"/>
      <c r="R37" s="35"/>
      <c r="S37" s="35"/>
    </row>
    <row r="38" spans="16:19" ht="12.75">
      <c r="P38" s="35"/>
      <c r="Q38" s="35"/>
      <c r="R38" s="35"/>
      <c r="S38" s="35"/>
    </row>
    <row r="39" spans="16:19" ht="12.75">
      <c r="P39" s="35"/>
      <c r="Q39" s="35"/>
      <c r="R39" s="35"/>
      <c r="S39" s="35"/>
    </row>
    <row r="40" spans="16:19" ht="12.75">
      <c r="P40" s="35"/>
      <c r="Q40" s="35"/>
      <c r="R40" s="35"/>
      <c r="S40" s="35"/>
    </row>
    <row r="41" spans="16:19" ht="12.75">
      <c r="P41" s="35"/>
      <c r="Q41" s="35"/>
      <c r="R41" s="35"/>
      <c r="S41" s="35"/>
    </row>
    <row r="42" spans="16:19" ht="12.75">
      <c r="P42" s="35"/>
      <c r="Q42" s="35"/>
      <c r="R42" s="35"/>
      <c r="S42" s="35"/>
    </row>
    <row r="43" spans="16:19" ht="12.75">
      <c r="P43" s="35"/>
      <c r="Q43" s="35"/>
      <c r="R43" s="35"/>
      <c r="S43" s="35"/>
    </row>
    <row r="44" spans="16:19" ht="12.75">
      <c r="P44" s="35"/>
      <c r="Q44" s="35"/>
      <c r="R44" s="35"/>
      <c r="S44" s="35"/>
    </row>
    <row r="45" spans="16:19" ht="12.75">
      <c r="P45" s="35"/>
      <c r="Q45" s="35"/>
      <c r="R45" s="35"/>
      <c r="S45" s="35"/>
    </row>
    <row r="46" spans="16:19" ht="12.75">
      <c r="P46" s="35"/>
      <c r="Q46" s="35"/>
      <c r="R46" s="35"/>
      <c r="S46" s="35"/>
    </row>
    <row r="47" spans="16:19" ht="12.75">
      <c r="P47" s="35"/>
      <c r="Q47" s="35"/>
      <c r="R47" s="35"/>
      <c r="S47" s="35"/>
    </row>
    <row r="48" spans="16:19" ht="12.75">
      <c r="P48" s="35"/>
      <c r="Q48" s="35"/>
      <c r="R48" s="35"/>
      <c r="S48" s="35"/>
    </row>
    <row r="49" spans="16:19" ht="12.75">
      <c r="P49" s="35"/>
      <c r="Q49" s="35"/>
      <c r="R49" s="35"/>
      <c r="S49" s="35"/>
    </row>
    <row r="50" spans="16:19" ht="12.75">
      <c r="P50" s="35"/>
      <c r="Q50" s="35"/>
      <c r="R50" s="35"/>
      <c r="S50" s="35"/>
    </row>
    <row r="51" spans="16:19" ht="12.75">
      <c r="P51" s="35"/>
      <c r="Q51" s="35"/>
      <c r="R51" s="35"/>
      <c r="S51" s="35"/>
    </row>
    <row r="52" spans="16:19" ht="12.75">
      <c r="P52" s="35"/>
      <c r="Q52" s="35"/>
      <c r="R52" s="35"/>
      <c r="S52" s="35"/>
    </row>
    <row r="53" spans="16:19" ht="12.75">
      <c r="P53" s="35"/>
      <c r="Q53" s="35"/>
      <c r="R53" s="35"/>
      <c r="S53" s="35"/>
    </row>
  </sheetData>
  <sheetProtection/>
  <mergeCells count="12">
    <mergeCell ref="L3:N3"/>
    <mergeCell ref="A1:I1"/>
    <mergeCell ref="O3:Q3"/>
    <mergeCell ref="R3:S3"/>
    <mergeCell ref="L1:N1"/>
    <mergeCell ref="A3:A4"/>
    <mergeCell ref="B3:B4"/>
    <mergeCell ref="C3:C4"/>
    <mergeCell ref="D3:D4"/>
    <mergeCell ref="E3:E4"/>
    <mergeCell ref="F3:H3"/>
    <mergeCell ref="I3:K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20.33203125" style="0" customWidth="1"/>
    <col min="6" max="6" width="7.33203125" style="3" customWidth="1"/>
    <col min="7" max="8" width="5.83203125" style="0" customWidth="1"/>
    <col min="9" max="9" width="7.33203125" style="3" customWidth="1"/>
    <col min="10" max="11" width="5.83203125" style="0" customWidth="1"/>
    <col min="12" max="12" width="7.33203125" style="3" customWidth="1"/>
    <col min="13" max="14" width="5.83203125" style="0" customWidth="1"/>
    <col min="15" max="15" width="10.83203125" style="4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6" customFormat="1" ht="18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5"/>
      <c r="L1" s="80"/>
      <c r="M1" s="80"/>
      <c r="N1" s="80"/>
      <c r="O1" s="7"/>
      <c r="P1" s="8" t="s">
        <v>149</v>
      </c>
      <c r="S1" s="8" t="s">
        <v>177</v>
      </c>
    </row>
    <row r="2" ht="12.75" customHeight="1"/>
    <row r="3" spans="1:19" ht="15.75">
      <c r="A3" s="81" t="s">
        <v>2</v>
      </c>
      <c r="B3" s="82" t="s">
        <v>3</v>
      </c>
      <c r="C3" s="82" t="s">
        <v>4</v>
      </c>
      <c r="D3" s="81" t="s">
        <v>5</v>
      </c>
      <c r="E3" s="82" t="s">
        <v>6</v>
      </c>
      <c r="F3" s="84" t="s">
        <v>7</v>
      </c>
      <c r="G3" s="84"/>
      <c r="H3" s="84"/>
      <c r="I3" s="77" t="s">
        <v>8</v>
      </c>
      <c r="J3" s="77"/>
      <c r="K3" s="77"/>
      <c r="L3" s="77" t="s">
        <v>9</v>
      </c>
      <c r="M3" s="77"/>
      <c r="N3" s="77"/>
      <c r="O3" s="77" t="s">
        <v>288</v>
      </c>
      <c r="P3" s="77"/>
      <c r="Q3" s="77"/>
      <c r="R3" s="78" t="s">
        <v>11</v>
      </c>
      <c r="S3" s="78"/>
    </row>
    <row r="4" spans="1:19" s="1" customFormat="1" ht="15.75">
      <c r="A4" s="81"/>
      <c r="B4" s="82"/>
      <c r="C4" s="82"/>
      <c r="D4" s="81"/>
      <c r="E4" s="82"/>
      <c r="F4" s="9" t="s">
        <v>12</v>
      </c>
      <c r="G4" s="10" t="s">
        <v>13</v>
      </c>
      <c r="H4" s="11"/>
      <c r="I4" s="12" t="s">
        <v>14</v>
      </c>
      <c r="J4" s="10" t="s">
        <v>13</v>
      </c>
      <c r="K4" s="11"/>
      <c r="L4" s="12" t="s">
        <v>14</v>
      </c>
      <c r="M4" s="10" t="s">
        <v>13</v>
      </c>
      <c r="N4" s="11"/>
      <c r="O4" s="13" t="s">
        <v>12</v>
      </c>
      <c r="P4" s="10" t="s">
        <v>13</v>
      </c>
      <c r="Q4" s="11"/>
      <c r="R4" s="14" t="s">
        <v>13</v>
      </c>
      <c r="S4" s="15" t="s">
        <v>15</v>
      </c>
    </row>
    <row r="5" spans="1:19" s="1" customFormat="1" ht="15.75">
      <c r="A5" s="28"/>
      <c r="B5" s="29"/>
      <c r="C5" s="29"/>
      <c r="D5" s="36"/>
      <c r="E5" s="29"/>
      <c r="F5" s="20"/>
      <c r="G5" s="21" t="str">
        <f>IF(F5&gt;0,ROUNDDOWN(((50/F5)-3.79)/0.0069,0)," ")</f>
        <v> </v>
      </c>
      <c r="H5" s="22"/>
      <c r="I5" s="23"/>
      <c r="J5" s="21" t="str">
        <f>IF(I5&gt;0,ROUNDDOWN((SQRT(I5)-1.15028)/0.00219,0)," ")</f>
        <v> </v>
      </c>
      <c r="K5" s="22"/>
      <c r="L5" s="23"/>
      <c r="M5" s="21" t="str">
        <f>IF(L5&gt;0,ROUNDDOWN((SQRT(L5)-2.8)/0.011,0)," ")</f>
        <v> </v>
      </c>
      <c r="N5" s="22"/>
      <c r="O5" s="24"/>
      <c r="P5" s="21" t="str">
        <f>IF(O5&gt;0,ROUNDDOWN(((1000/(O5*86400))-2.158)/0.006,0)," ")</f>
        <v> </v>
      </c>
      <c r="Q5" s="25"/>
      <c r="R5" s="26"/>
      <c r="S5" s="27"/>
    </row>
    <row r="6" spans="1:19" ht="15.75">
      <c r="A6" s="51">
        <v>191</v>
      </c>
      <c r="B6" s="64" t="s">
        <v>150</v>
      </c>
      <c r="C6" s="64" t="s">
        <v>151</v>
      </c>
      <c r="D6" s="62">
        <v>2001</v>
      </c>
      <c r="E6" s="63" t="s">
        <v>16</v>
      </c>
      <c r="F6" s="66">
        <v>7.81</v>
      </c>
      <c r="G6" s="55">
        <f aca="true" t="shared" si="0" ref="G6:G20">IF(F6&gt;0,ROUNDDOWN(((50/F6)-3.648)/0.0066,0)," ")</f>
        <v>417</v>
      </c>
      <c r="H6" s="56"/>
      <c r="I6" s="54">
        <v>4.27</v>
      </c>
      <c r="J6" s="55">
        <f aca="true" t="shared" si="1" ref="J6:J20">IF(I6&gt;0,ROUNDDOWN((SQRT(I6)-1.0935)/0.00208,0)," ")</f>
        <v>467</v>
      </c>
      <c r="K6" s="56"/>
      <c r="L6" s="54">
        <v>31</v>
      </c>
      <c r="M6" s="55">
        <f aca="true" t="shared" si="2" ref="M6:M20">IF(L6&gt;0,ROUNDDOWN((SQRT(L6)-2.0232)/0.00874,0)," ")</f>
        <v>405</v>
      </c>
      <c r="N6" s="56"/>
      <c r="O6" s="57">
        <v>0.0020637731481481483</v>
      </c>
      <c r="P6" s="55">
        <f aca="true" t="shared" si="3" ref="P6:P18">IF(O6&gt;0,ROUNDDOWN(((800/(O6*86400))-2.0232)/0.00647,0)," ")</f>
        <v>380</v>
      </c>
      <c r="Q6" s="58"/>
      <c r="R6" s="59">
        <f aca="true" t="shared" si="4" ref="R6:R20">SUM(G6,J6,M6,P6)</f>
        <v>1669</v>
      </c>
      <c r="S6" s="60">
        <v>1</v>
      </c>
    </row>
    <row r="7" spans="1:19" ht="15.75">
      <c r="A7" s="51">
        <v>243</v>
      </c>
      <c r="B7" s="64" t="s">
        <v>152</v>
      </c>
      <c r="C7" s="64" t="s">
        <v>153</v>
      </c>
      <c r="D7" s="62">
        <v>2001</v>
      </c>
      <c r="E7" s="63" t="s">
        <v>27</v>
      </c>
      <c r="F7" s="66">
        <v>7.93</v>
      </c>
      <c r="G7" s="55">
        <f t="shared" si="0"/>
        <v>402</v>
      </c>
      <c r="H7" s="56"/>
      <c r="I7" s="54">
        <v>4.11</v>
      </c>
      <c r="J7" s="55">
        <f t="shared" si="1"/>
        <v>448</v>
      </c>
      <c r="K7" s="56"/>
      <c r="L7" s="54">
        <v>27.5</v>
      </c>
      <c r="M7" s="55">
        <f t="shared" si="2"/>
        <v>368</v>
      </c>
      <c r="N7" s="56"/>
      <c r="O7" s="57">
        <v>0.001962847222222222</v>
      </c>
      <c r="P7" s="55">
        <f t="shared" si="3"/>
        <v>416</v>
      </c>
      <c r="Q7" s="58"/>
      <c r="R7" s="59">
        <f t="shared" si="4"/>
        <v>1634</v>
      </c>
      <c r="S7" s="60">
        <v>2</v>
      </c>
    </row>
    <row r="8" spans="1:19" ht="15.75">
      <c r="A8" s="51">
        <v>87</v>
      </c>
      <c r="B8" s="69" t="s">
        <v>154</v>
      </c>
      <c r="C8" s="69" t="s">
        <v>155</v>
      </c>
      <c r="D8" s="62">
        <v>2001</v>
      </c>
      <c r="E8" s="63" t="s">
        <v>38</v>
      </c>
      <c r="F8" s="66">
        <v>7.97</v>
      </c>
      <c r="G8" s="55">
        <f t="shared" si="0"/>
        <v>397</v>
      </c>
      <c r="H8" s="56"/>
      <c r="I8" s="54">
        <v>3.76</v>
      </c>
      <c r="J8" s="55">
        <f t="shared" si="1"/>
        <v>406</v>
      </c>
      <c r="K8" s="56"/>
      <c r="L8" s="54">
        <v>26.5</v>
      </c>
      <c r="M8" s="55">
        <f t="shared" si="2"/>
        <v>357</v>
      </c>
      <c r="N8" s="56"/>
      <c r="O8" s="57">
        <v>0.0021444444444444445</v>
      </c>
      <c r="P8" s="55">
        <f t="shared" si="3"/>
        <v>354</v>
      </c>
      <c r="Q8" s="58"/>
      <c r="R8" s="59">
        <f t="shared" si="4"/>
        <v>1514</v>
      </c>
      <c r="S8" s="60">
        <v>3</v>
      </c>
    </row>
    <row r="9" spans="1:19" ht="15.75">
      <c r="A9" s="51">
        <v>220</v>
      </c>
      <c r="B9" s="64" t="s">
        <v>156</v>
      </c>
      <c r="C9" s="64" t="s">
        <v>157</v>
      </c>
      <c r="D9" s="62">
        <v>2001</v>
      </c>
      <c r="E9" s="63" t="s">
        <v>29</v>
      </c>
      <c r="F9" s="66">
        <v>8.19</v>
      </c>
      <c r="G9" s="55">
        <f t="shared" si="0"/>
        <v>372</v>
      </c>
      <c r="H9" s="56"/>
      <c r="I9" s="54">
        <v>3.6</v>
      </c>
      <c r="J9" s="55">
        <f t="shared" si="1"/>
        <v>386</v>
      </c>
      <c r="K9" s="56"/>
      <c r="L9" s="54">
        <v>26</v>
      </c>
      <c r="M9" s="55">
        <f t="shared" si="2"/>
        <v>351</v>
      </c>
      <c r="N9" s="56"/>
      <c r="O9" s="57">
        <v>0.0020048611111111113</v>
      </c>
      <c r="P9" s="55">
        <f t="shared" si="3"/>
        <v>401</v>
      </c>
      <c r="Q9" s="58"/>
      <c r="R9" s="59">
        <f t="shared" si="4"/>
        <v>1510</v>
      </c>
      <c r="S9" s="60">
        <v>4</v>
      </c>
    </row>
    <row r="10" spans="1:19" ht="15.75">
      <c r="A10" s="51">
        <v>89</v>
      </c>
      <c r="B10" s="69" t="s">
        <v>101</v>
      </c>
      <c r="C10" s="69" t="s">
        <v>158</v>
      </c>
      <c r="D10" s="62">
        <v>2001</v>
      </c>
      <c r="E10" s="63" t="s">
        <v>38</v>
      </c>
      <c r="F10" s="66">
        <v>8.69</v>
      </c>
      <c r="G10" s="55">
        <f t="shared" si="0"/>
        <v>319</v>
      </c>
      <c r="H10" s="56"/>
      <c r="I10" s="54">
        <v>3.58</v>
      </c>
      <c r="J10" s="55">
        <f t="shared" si="1"/>
        <v>383</v>
      </c>
      <c r="K10" s="56"/>
      <c r="L10" s="54">
        <v>23.5</v>
      </c>
      <c r="M10" s="55">
        <f t="shared" si="2"/>
        <v>323</v>
      </c>
      <c r="N10" s="56"/>
      <c r="O10" s="57">
        <v>0.002274652777777778</v>
      </c>
      <c r="P10" s="55">
        <f t="shared" si="3"/>
        <v>316</v>
      </c>
      <c r="Q10" s="58"/>
      <c r="R10" s="59">
        <f t="shared" si="4"/>
        <v>1341</v>
      </c>
      <c r="S10" s="60">
        <v>5</v>
      </c>
    </row>
    <row r="11" spans="1:19" ht="15.75">
      <c r="A11" s="51">
        <v>157</v>
      </c>
      <c r="B11" s="64" t="s">
        <v>159</v>
      </c>
      <c r="C11" s="64" t="s">
        <v>160</v>
      </c>
      <c r="D11" s="62">
        <v>2001</v>
      </c>
      <c r="E11" s="63" t="s">
        <v>31</v>
      </c>
      <c r="F11" s="66">
        <v>9.24</v>
      </c>
      <c r="G11" s="55">
        <f t="shared" si="0"/>
        <v>267</v>
      </c>
      <c r="H11" s="56"/>
      <c r="I11" s="54">
        <v>3.41</v>
      </c>
      <c r="J11" s="55">
        <f t="shared" si="1"/>
        <v>362</v>
      </c>
      <c r="K11" s="56"/>
      <c r="L11" s="54">
        <v>30</v>
      </c>
      <c r="M11" s="55">
        <f t="shared" si="2"/>
        <v>395</v>
      </c>
      <c r="N11" s="56"/>
      <c r="O11" s="57">
        <v>0.002336458333333333</v>
      </c>
      <c r="P11" s="55">
        <f t="shared" si="3"/>
        <v>299</v>
      </c>
      <c r="Q11" s="58"/>
      <c r="R11" s="59">
        <f t="shared" si="4"/>
        <v>1323</v>
      </c>
      <c r="S11" s="60">
        <v>6</v>
      </c>
    </row>
    <row r="12" spans="1:19" ht="15.75">
      <c r="A12" s="51">
        <v>88</v>
      </c>
      <c r="B12" s="69" t="s">
        <v>161</v>
      </c>
      <c r="C12" s="69" t="s">
        <v>162</v>
      </c>
      <c r="D12" s="62">
        <v>2001</v>
      </c>
      <c r="E12" s="63" t="s">
        <v>38</v>
      </c>
      <c r="F12" s="66">
        <v>8.85</v>
      </c>
      <c r="G12" s="55">
        <f t="shared" si="0"/>
        <v>303</v>
      </c>
      <c r="H12" s="56"/>
      <c r="I12" s="54">
        <v>3.38</v>
      </c>
      <c r="J12" s="55">
        <f t="shared" si="1"/>
        <v>358</v>
      </c>
      <c r="K12" s="56"/>
      <c r="L12" s="54">
        <v>21.5</v>
      </c>
      <c r="M12" s="55">
        <f t="shared" si="2"/>
        <v>299</v>
      </c>
      <c r="N12" s="56"/>
      <c r="O12" s="57">
        <v>0.0022465277777777774</v>
      </c>
      <c r="P12" s="55">
        <f t="shared" si="3"/>
        <v>324</v>
      </c>
      <c r="Q12" s="58"/>
      <c r="R12" s="59">
        <f t="shared" si="4"/>
        <v>1284</v>
      </c>
      <c r="S12" s="60">
        <v>7</v>
      </c>
    </row>
    <row r="13" spans="1:19" ht="15.75">
      <c r="A13" s="51">
        <v>224</v>
      </c>
      <c r="B13" s="64" t="s">
        <v>163</v>
      </c>
      <c r="C13" s="64" t="s">
        <v>164</v>
      </c>
      <c r="D13" s="62">
        <v>2001</v>
      </c>
      <c r="E13" s="63" t="s">
        <v>29</v>
      </c>
      <c r="F13" s="66">
        <v>9.1</v>
      </c>
      <c r="G13" s="55">
        <f t="shared" si="0"/>
        <v>279</v>
      </c>
      <c r="H13" s="56"/>
      <c r="I13" s="54">
        <v>3.26</v>
      </c>
      <c r="J13" s="55">
        <f t="shared" si="1"/>
        <v>342</v>
      </c>
      <c r="K13" s="56"/>
      <c r="L13" s="54">
        <v>17.5</v>
      </c>
      <c r="M13" s="55">
        <f t="shared" si="2"/>
        <v>247</v>
      </c>
      <c r="N13" s="56"/>
      <c r="O13" s="57">
        <v>0.0020791666666666662</v>
      </c>
      <c r="P13" s="55">
        <f t="shared" si="3"/>
        <v>375</v>
      </c>
      <c r="Q13" s="58"/>
      <c r="R13" s="59">
        <f t="shared" si="4"/>
        <v>1243</v>
      </c>
      <c r="S13" s="60">
        <v>8</v>
      </c>
    </row>
    <row r="14" spans="1:19" s="1" customFormat="1" ht="15.75">
      <c r="A14" s="51">
        <v>161</v>
      </c>
      <c r="B14" s="64" t="s">
        <v>165</v>
      </c>
      <c r="C14" s="64" t="s">
        <v>166</v>
      </c>
      <c r="D14" s="62">
        <v>2001</v>
      </c>
      <c r="E14" s="63" t="s">
        <v>31</v>
      </c>
      <c r="F14" s="66">
        <v>9.15</v>
      </c>
      <c r="G14" s="55">
        <f t="shared" si="0"/>
        <v>275</v>
      </c>
      <c r="H14" s="56"/>
      <c r="I14" s="54">
        <v>3.17</v>
      </c>
      <c r="J14" s="55">
        <f t="shared" si="1"/>
        <v>330</v>
      </c>
      <c r="K14" s="56"/>
      <c r="L14" s="54">
        <v>20.5</v>
      </c>
      <c r="M14" s="55">
        <f t="shared" si="2"/>
        <v>286</v>
      </c>
      <c r="N14" s="56"/>
      <c r="O14" s="57">
        <v>0.0023167824074074076</v>
      </c>
      <c r="P14" s="55">
        <f t="shared" si="3"/>
        <v>305</v>
      </c>
      <c r="Q14" s="58"/>
      <c r="R14" s="59">
        <f t="shared" si="4"/>
        <v>1196</v>
      </c>
      <c r="S14" s="60">
        <v>9</v>
      </c>
    </row>
    <row r="15" spans="1:19" ht="15.75">
      <c r="A15" s="51">
        <v>27</v>
      </c>
      <c r="B15" s="52" t="s">
        <v>167</v>
      </c>
      <c r="C15" s="52" t="s">
        <v>168</v>
      </c>
      <c r="D15" s="53">
        <v>2001</v>
      </c>
      <c r="E15" s="52" t="s">
        <v>18</v>
      </c>
      <c r="F15" s="66">
        <v>8.75</v>
      </c>
      <c r="G15" s="55">
        <f t="shared" si="0"/>
        <v>313</v>
      </c>
      <c r="H15" s="56"/>
      <c r="I15" s="54">
        <v>3.1</v>
      </c>
      <c r="J15" s="55">
        <f t="shared" si="1"/>
        <v>320</v>
      </c>
      <c r="K15" s="56"/>
      <c r="L15" s="54">
        <v>21.5</v>
      </c>
      <c r="M15" s="55">
        <f t="shared" si="2"/>
        <v>299</v>
      </c>
      <c r="N15" s="56"/>
      <c r="O15" s="57">
        <v>0.002558912037037037</v>
      </c>
      <c r="P15" s="55">
        <f t="shared" si="3"/>
        <v>246</v>
      </c>
      <c r="Q15" s="58"/>
      <c r="R15" s="59">
        <f t="shared" si="4"/>
        <v>1178</v>
      </c>
      <c r="S15" s="60">
        <v>10</v>
      </c>
    </row>
    <row r="16" spans="1:19" s="1" customFormat="1" ht="15.75">
      <c r="A16" s="51">
        <v>186</v>
      </c>
      <c r="B16" s="64" t="s">
        <v>169</v>
      </c>
      <c r="C16" s="64" t="s">
        <v>77</v>
      </c>
      <c r="D16" s="62">
        <v>2001</v>
      </c>
      <c r="E16" s="63" t="s">
        <v>16</v>
      </c>
      <c r="F16" s="66">
        <v>8.9</v>
      </c>
      <c r="G16" s="55">
        <f t="shared" si="0"/>
        <v>298</v>
      </c>
      <c r="H16" s="56"/>
      <c r="I16" s="54">
        <v>3.16</v>
      </c>
      <c r="J16" s="55">
        <f t="shared" si="1"/>
        <v>328</v>
      </c>
      <c r="K16" s="56"/>
      <c r="L16" s="54">
        <v>15.5</v>
      </c>
      <c r="M16" s="55">
        <f t="shared" si="2"/>
        <v>218</v>
      </c>
      <c r="N16" s="56"/>
      <c r="O16" s="57">
        <v>0.0023108796296296293</v>
      </c>
      <c r="P16" s="55">
        <f t="shared" si="3"/>
        <v>306</v>
      </c>
      <c r="Q16" s="58"/>
      <c r="R16" s="59">
        <f t="shared" si="4"/>
        <v>1150</v>
      </c>
      <c r="S16" s="60">
        <v>11</v>
      </c>
    </row>
    <row r="17" spans="1:19" ht="15.75">
      <c r="A17" s="51">
        <v>153</v>
      </c>
      <c r="B17" s="64" t="s">
        <v>170</v>
      </c>
      <c r="C17" s="64" t="s">
        <v>171</v>
      </c>
      <c r="D17" s="62">
        <v>2001</v>
      </c>
      <c r="E17" s="63" t="s">
        <v>31</v>
      </c>
      <c r="F17" s="66">
        <v>9.64</v>
      </c>
      <c r="G17" s="55">
        <f t="shared" si="0"/>
        <v>233</v>
      </c>
      <c r="H17" s="56"/>
      <c r="I17" s="54">
        <v>2.95</v>
      </c>
      <c r="J17" s="55">
        <f t="shared" si="1"/>
        <v>300</v>
      </c>
      <c r="K17" s="56"/>
      <c r="L17" s="54">
        <v>20.5</v>
      </c>
      <c r="M17" s="55">
        <f t="shared" si="2"/>
        <v>286</v>
      </c>
      <c r="N17" s="56"/>
      <c r="O17" s="57">
        <v>0.002556828703703704</v>
      </c>
      <c r="P17" s="55">
        <f t="shared" si="3"/>
        <v>247</v>
      </c>
      <c r="Q17" s="58"/>
      <c r="R17" s="59">
        <f t="shared" si="4"/>
        <v>1066</v>
      </c>
      <c r="S17" s="60">
        <v>12</v>
      </c>
    </row>
    <row r="18" spans="1:19" ht="15.75">
      <c r="A18" s="51">
        <v>105</v>
      </c>
      <c r="B18" s="69" t="s">
        <v>172</v>
      </c>
      <c r="C18" s="69" t="s">
        <v>173</v>
      </c>
      <c r="D18" s="62">
        <v>2001</v>
      </c>
      <c r="E18" s="69" t="s">
        <v>32</v>
      </c>
      <c r="F18" s="66">
        <v>9.84</v>
      </c>
      <c r="G18" s="55">
        <f t="shared" si="0"/>
        <v>217</v>
      </c>
      <c r="H18" s="56"/>
      <c r="I18" s="54">
        <v>3.08</v>
      </c>
      <c r="J18" s="55">
        <f t="shared" si="1"/>
        <v>318</v>
      </c>
      <c r="K18" s="56"/>
      <c r="L18" s="54">
        <v>19.5</v>
      </c>
      <c r="M18" s="55">
        <f t="shared" si="2"/>
        <v>273</v>
      </c>
      <c r="N18" s="56"/>
      <c r="O18" s="57">
        <v>0.0025611111111111112</v>
      </c>
      <c r="P18" s="55">
        <f t="shared" si="3"/>
        <v>246</v>
      </c>
      <c r="Q18" s="58"/>
      <c r="R18" s="59">
        <f t="shared" si="4"/>
        <v>1054</v>
      </c>
      <c r="S18" s="60">
        <v>13</v>
      </c>
    </row>
    <row r="19" spans="1:19" ht="15.75">
      <c r="A19" s="51">
        <v>134</v>
      </c>
      <c r="B19" s="64" t="s">
        <v>40</v>
      </c>
      <c r="C19" s="64" t="s">
        <v>174</v>
      </c>
      <c r="D19" s="62">
        <v>2001</v>
      </c>
      <c r="E19" s="63" t="s">
        <v>39</v>
      </c>
      <c r="F19" s="66">
        <v>8.93</v>
      </c>
      <c r="G19" s="55">
        <f t="shared" si="0"/>
        <v>295</v>
      </c>
      <c r="H19" s="56"/>
      <c r="I19" s="54">
        <v>3.4</v>
      </c>
      <c r="J19" s="55">
        <f t="shared" si="1"/>
        <v>360</v>
      </c>
      <c r="K19" s="56"/>
      <c r="L19" s="54">
        <v>19.5</v>
      </c>
      <c r="M19" s="55">
        <f t="shared" si="2"/>
        <v>273</v>
      </c>
      <c r="N19" s="56"/>
      <c r="O19" s="57" t="s">
        <v>36</v>
      </c>
      <c r="P19" s="55">
        <v>0</v>
      </c>
      <c r="Q19" s="58"/>
      <c r="R19" s="59">
        <f t="shared" si="4"/>
        <v>928</v>
      </c>
      <c r="S19" s="60">
        <v>14</v>
      </c>
    </row>
    <row r="20" spans="1:19" ht="15.75">
      <c r="A20" s="51">
        <v>28</v>
      </c>
      <c r="B20" s="52" t="s">
        <v>175</v>
      </c>
      <c r="C20" s="52" t="s">
        <v>176</v>
      </c>
      <c r="D20" s="53">
        <v>2001</v>
      </c>
      <c r="E20" s="52" t="s">
        <v>18</v>
      </c>
      <c r="F20" s="66">
        <v>9.63</v>
      </c>
      <c r="G20" s="55">
        <f t="shared" si="0"/>
        <v>233</v>
      </c>
      <c r="H20" s="56"/>
      <c r="I20" s="54">
        <v>2.92</v>
      </c>
      <c r="J20" s="55">
        <f t="shared" si="1"/>
        <v>295</v>
      </c>
      <c r="K20" s="56"/>
      <c r="L20" s="54">
        <v>13.5</v>
      </c>
      <c r="M20" s="55">
        <f t="shared" si="2"/>
        <v>188</v>
      </c>
      <c r="N20" s="56"/>
      <c r="O20" s="57">
        <v>0.0027754629629629626</v>
      </c>
      <c r="P20" s="55">
        <f>IF(O20&gt;0,ROUNDDOWN(((800/(O20*86400))-2.0232)/0.00647,0)," ")</f>
        <v>202</v>
      </c>
      <c r="Q20" s="58"/>
      <c r="R20" s="59">
        <f t="shared" si="4"/>
        <v>918</v>
      </c>
      <c r="S20" s="60">
        <v>15</v>
      </c>
    </row>
    <row r="21" spans="1:19" ht="15.75">
      <c r="A21" s="28"/>
      <c r="B21" s="29"/>
      <c r="C21" s="29"/>
      <c r="D21" s="36"/>
      <c r="E21" s="29"/>
      <c r="F21" s="23"/>
      <c r="G21" s="21" t="str">
        <f>IF(F21&gt;0,ROUNDDOWN(((50/F21)-3.79)/0.0069,0)," ")</f>
        <v> </v>
      </c>
      <c r="H21" s="22"/>
      <c r="I21" s="23"/>
      <c r="J21" s="21" t="str">
        <f>IF(I21&gt;0,ROUNDDOWN((SQRT(I21)-1.15028)/0.00219,0)," ")</f>
        <v> </v>
      </c>
      <c r="K21" s="22"/>
      <c r="L21" s="23"/>
      <c r="M21" s="21" t="str">
        <f>IF(L21&gt;0,ROUNDDOWN((SQRT(L21)-2.8)/0.011,0)," ")</f>
        <v> </v>
      </c>
      <c r="N21" s="22"/>
      <c r="O21" s="24"/>
      <c r="P21" s="21" t="str">
        <f>IF(O21&gt;0,ROUNDDOWN(((1000/(O21*86400))-2.158)/0.006,0)," ")</f>
        <v> </v>
      </c>
      <c r="Q21" s="25"/>
      <c r="R21" s="26"/>
      <c r="S21" s="27"/>
    </row>
    <row r="22" spans="16:19" ht="12.75">
      <c r="P22" s="35"/>
      <c r="Q22" s="35"/>
      <c r="R22" s="35"/>
      <c r="S22" s="35"/>
    </row>
    <row r="23" spans="16:19" ht="12.75">
      <c r="P23" s="35"/>
      <c r="Q23" s="35"/>
      <c r="R23" s="35"/>
      <c r="S23" s="35"/>
    </row>
    <row r="24" spans="16:19" ht="12.75">
      <c r="P24" s="35"/>
      <c r="Q24" s="35"/>
      <c r="R24" s="35"/>
      <c r="S24" s="35"/>
    </row>
    <row r="25" spans="16:19" ht="12.75">
      <c r="P25" s="35"/>
      <c r="Q25" s="35"/>
      <c r="R25" s="35"/>
      <c r="S25" s="35"/>
    </row>
    <row r="26" spans="16:19" ht="12.75">
      <c r="P26" s="35"/>
      <c r="Q26" s="35"/>
      <c r="R26" s="35"/>
      <c r="S26" s="35"/>
    </row>
    <row r="27" spans="16:19" ht="12.75">
      <c r="P27" s="35"/>
      <c r="Q27" s="35"/>
      <c r="R27" s="35"/>
      <c r="S27" s="35"/>
    </row>
    <row r="28" spans="16:19" ht="12.75">
      <c r="P28" s="35"/>
      <c r="Q28" s="35"/>
      <c r="R28" s="35"/>
      <c r="S28" s="35"/>
    </row>
    <row r="29" spans="16:19" ht="12.75">
      <c r="P29" s="35"/>
      <c r="Q29" s="35"/>
      <c r="R29" s="35"/>
      <c r="S29" s="35"/>
    </row>
    <row r="30" spans="16:19" ht="12.75">
      <c r="P30" s="35"/>
      <c r="Q30" s="35"/>
      <c r="R30" s="35"/>
      <c r="S30" s="35"/>
    </row>
    <row r="31" spans="16:19" ht="12.75">
      <c r="P31" s="35"/>
      <c r="Q31" s="35"/>
      <c r="R31" s="35"/>
      <c r="S31" s="35"/>
    </row>
    <row r="32" spans="16:19" ht="12.75">
      <c r="P32" s="35"/>
      <c r="Q32" s="35"/>
      <c r="R32" s="35"/>
      <c r="S32" s="35"/>
    </row>
    <row r="33" spans="16:19" ht="12.75">
      <c r="P33" s="35"/>
      <c r="Q33" s="35"/>
      <c r="R33" s="35"/>
      <c r="S33" s="35"/>
    </row>
    <row r="34" spans="16:19" ht="12.75">
      <c r="P34" s="35"/>
      <c r="Q34" s="35"/>
      <c r="R34" s="35"/>
      <c r="S34" s="35"/>
    </row>
    <row r="35" spans="16:19" ht="12.75">
      <c r="P35" s="35"/>
      <c r="Q35" s="35"/>
      <c r="R35" s="35"/>
      <c r="S35" s="35"/>
    </row>
    <row r="36" spans="16:19" ht="12.75">
      <c r="P36" s="35"/>
      <c r="Q36" s="35"/>
      <c r="R36" s="35"/>
      <c r="S36" s="35"/>
    </row>
    <row r="37" spans="1:21" ht="16.5">
      <c r="A37" s="79" t="s">
        <v>0</v>
      </c>
      <c r="B37" s="79"/>
      <c r="C37" s="79"/>
      <c r="D37" s="79"/>
      <c r="E37" s="79"/>
      <c r="F37" s="79"/>
      <c r="G37" s="79"/>
      <c r="H37" s="79"/>
      <c r="I37" s="79"/>
      <c r="J37" s="5"/>
      <c r="K37" s="6"/>
      <c r="L37" s="80"/>
      <c r="M37" s="80"/>
      <c r="N37" s="80"/>
      <c r="O37" s="7"/>
      <c r="P37" s="8" t="s">
        <v>178</v>
      </c>
      <c r="Q37" s="6"/>
      <c r="R37" s="6"/>
      <c r="S37" s="8" t="s">
        <v>179</v>
      </c>
      <c r="T37" s="6"/>
      <c r="U37" s="6"/>
    </row>
    <row r="39" spans="1:19" ht="15.75">
      <c r="A39" s="81" t="s">
        <v>2</v>
      </c>
      <c r="B39" s="82" t="s">
        <v>3</v>
      </c>
      <c r="C39" s="82" t="s">
        <v>4</v>
      </c>
      <c r="D39" s="81" t="s">
        <v>5</v>
      </c>
      <c r="E39" s="82" t="s">
        <v>6</v>
      </c>
      <c r="F39" s="84" t="s">
        <v>7</v>
      </c>
      <c r="G39" s="84"/>
      <c r="H39" s="84"/>
      <c r="I39" s="77" t="s">
        <v>8</v>
      </c>
      <c r="J39" s="77"/>
      <c r="K39" s="77"/>
      <c r="L39" s="77" t="s">
        <v>9</v>
      </c>
      <c r="M39" s="77"/>
      <c r="N39" s="77"/>
      <c r="O39" s="77" t="s">
        <v>288</v>
      </c>
      <c r="P39" s="77"/>
      <c r="Q39" s="77"/>
      <c r="R39" s="78" t="s">
        <v>11</v>
      </c>
      <c r="S39" s="78"/>
    </row>
    <row r="40" spans="1:21" ht="15.75">
      <c r="A40" s="81"/>
      <c r="B40" s="82"/>
      <c r="C40" s="82"/>
      <c r="D40" s="81"/>
      <c r="E40" s="82"/>
      <c r="F40" s="9" t="s">
        <v>12</v>
      </c>
      <c r="G40" s="10" t="s">
        <v>13</v>
      </c>
      <c r="H40" s="11"/>
      <c r="I40" s="12" t="s">
        <v>14</v>
      </c>
      <c r="J40" s="10" t="s">
        <v>13</v>
      </c>
      <c r="K40" s="11"/>
      <c r="L40" s="12" t="s">
        <v>14</v>
      </c>
      <c r="M40" s="10" t="s">
        <v>13</v>
      </c>
      <c r="N40" s="11"/>
      <c r="O40" s="13" t="s">
        <v>12</v>
      </c>
      <c r="P40" s="10" t="s">
        <v>13</v>
      </c>
      <c r="Q40" s="11"/>
      <c r="R40" s="14" t="s">
        <v>13</v>
      </c>
      <c r="S40" s="15" t="s">
        <v>15</v>
      </c>
      <c r="T40" s="1"/>
      <c r="U40" s="1"/>
    </row>
    <row r="41" spans="1:21" ht="15.75">
      <c r="A41" s="28"/>
      <c r="B41" s="29"/>
      <c r="C41" s="29"/>
      <c r="D41" s="36"/>
      <c r="E41" s="29"/>
      <c r="F41" s="20"/>
      <c r="G41" s="21" t="str">
        <f>IF(F41&gt;0,ROUNDDOWN(((50/F41)-3.79)/0.0069,0)," ")</f>
        <v> </v>
      </c>
      <c r="H41" s="22"/>
      <c r="I41" s="23"/>
      <c r="J41" s="21" t="str">
        <f>IF(I41&gt;0,ROUNDDOWN((SQRT(I41)-1.15028)/0.00219,0)," ")</f>
        <v> </v>
      </c>
      <c r="K41" s="22"/>
      <c r="L41" s="23"/>
      <c r="M41" s="21" t="str">
        <f>IF(L41&gt;0,ROUNDDOWN((SQRT(L41)-2.8)/0.011,0)," ")</f>
        <v> </v>
      </c>
      <c r="N41" s="22"/>
      <c r="O41" s="24"/>
      <c r="P41" s="21" t="str">
        <f>IF(O41&gt;0,ROUNDDOWN(((1000/(O41*86400))-2.158)/0.006,0)," ")</f>
        <v> </v>
      </c>
      <c r="Q41" s="25"/>
      <c r="R41" s="26"/>
      <c r="S41" s="27"/>
      <c r="T41" s="1"/>
      <c r="U41" s="1"/>
    </row>
    <row r="42" spans="1:19" ht="15.75">
      <c r="A42" s="51">
        <v>222</v>
      </c>
      <c r="B42" s="64" t="s">
        <v>180</v>
      </c>
      <c r="C42" s="64" t="s">
        <v>181</v>
      </c>
      <c r="D42" s="62">
        <v>2000</v>
      </c>
      <c r="E42" s="63" t="s">
        <v>29</v>
      </c>
      <c r="F42" s="66">
        <v>7.52</v>
      </c>
      <c r="G42" s="55">
        <f aca="true" t="shared" si="5" ref="G42:G62">IF(F42&gt;0,ROUNDDOWN(((50/F42)-3.648)/0.0066,0)," ")</f>
        <v>454</v>
      </c>
      <c r="H42" s="56"/>
      <c r="I42" s="54">
        <v>4.23</v>
      </c>
      <c r="J42" s="55">
        <f aca="true" t="shared" si="6" ref="J42:J62">IF(I42&gt;0,ROUNDDOWN((SQRT(I42)-1.0935)/0.00208,0)," ")</f>
        <v>463</v>
      </c>
      <c r="K42" s="56"/>
      <c r="L42" s="54">
        <v>37</v>
      </c>
      <c r="M42" s="55">
        <f aca="true" t="shared" si="7" ref="M42:M62">IF(L42&gt;0,ROUNDDOWN((SQRT(L42)-2.0232)/0.00874,0)," ")</f>
        <v>464</v>
      </c>
      <c r="N42" s="56"/>
      <c r="O42" s="57">
        <v>0.0018400462962962962</v>
      </c>
      <c r="P42" s="55">
        <f aca="true" t="shared" si="8" ref="P42:P56">IF(O42&gt;0,ROUNDDOWN(((800/(O42*86400))-2.0232)/0.00647,0)," ")</f>
        <v>465</v>
      </c>
      <c r="Q42" s="58"/>
      <c r="R42" s="59">
        <f aca="true" t="shared" si="9" ref="R42:R62">SUM(G42,J42,M42,P42)</f>
        <v>1846</v>
      </c>
      <c r="S42" s="60">
        <v>1</v>
      </c>
    </row>
    <row r="43" spans="1:19" ht="15.75">
      <c r="A43" s="51">
        <v>125</v>
      </c>
      <c r="B43" s="64" t="s">
        <v>182</v>
      </c>
      <c r="C43" s="64" t="s">
        <v>183</v>
      </c>
      <c r="D43" s="62">
        <v>2000</v>
      </c>
      <c r="E43" s="63" t="s">
        <v>184</v>
      </c>
      <c r="F43" s="66">
        <v>7.83</v>
      </c>
      <c r="G43" s="55">
        <f t="shared" si="5"/>
        <v>414</v>
      </c>
      <c r="H43" s="56"/>
      <c r="I43" s="54">
        <v>4.42</v>
      </c>
      <c r="J43" s="55">
        <f t="shared" si="6"/>
        <v>485</v>
      </c>
      <c r="K43" s="56"/>
      <c r="L43" s="54">
        <v>33.5</v>
      </c>
      <c r="M43" s="55">
        <f t="shared" si="7"/>
        <v>430</v>
      </c>
      <c r="N43" s="56"/>
      <c r="O43" s="57">
        <v>0.0020667824074074074</v>
      </c>
      <c r="P43" s="55">
        <f t="shared" si="8"/>
        <v>379</v>
      </c>
      <c r="Q43" s="58"/>
      <c r="R43" s="59">
        <f t="shared" si="9"/>
        <v>1708</v>
      </c>
      <c r="S43" s="60">
        <v>2</v>
      </c>
    </row>
    <row r="44" spans="1:19" ht="15.75">
      <c r="A44" s="51">
        <v>239</v>
      </c>
      <c r="B44" s="64" t="s">
        <v>185</v>
      </c>
      <c r="C44" s="64" t="s">
        <v>186</v>
      </c>
      <c r="D44" s="62">
        <v>2000</v>
      </c>
      <c r="E44" s="63" t="s">
        <v>27</v>
      </c>
      <c r="F44" s="66">
        <v>7.89</v>
      </c>
      <c r="G44" s="55">
        <f t="shared" si="5"/>
        <v>407</v>
      </c>
      <c r="H44" s="56"/>
      <c r="I44" s="54">
        <v>3.98</v>
      </c>
      <c r="J44" s="55">
        <f t="shared" si="6"/>
        <v>433</v>
      </c>
      <c r="K44" s="56"/>
      <c r="L44" s="54">
        <v>35.5</v>
      </c>
      <c r="M44" s="55">
        <f t="shared" si="7"/>
        <v>450</v>
      </c>
      <c r="N44" s="56"/>
      <c r="O44" s="57">
        <v>0.0019625000000000003</v>
      </c>
      <c r="P44" s="55">
        <f t="shared" si="8"/>
        <v>416</v>
      </c>
      <c r="Q44" s="58"/>
      <c r="R44" s="59">
        <f t="shared" si="9"/>
        <v>1706</v>
      </c>
      <c r="S44" s="60">
        <v>3</v>
      </c>
    </row>
    <row r="45" spans="1:19" ht="15.75">
      <c r="A45" s="51">
        <v>195</v>
      </c>
      <c r="B45" s="64" t="s">
        <v>52</v>
      </c>
      <c r="C45" s="64" t="s">
        <v>187</v>
      </c>
      <c r="D45" s="62">
        <v>2000</v>
      </c>
      <c r="E45" s="63" t="s">
        <v>16</v>
      </c>
      <c r="F45" s="66">
        <v>7.95</v>
      </c>
      <c r="G45" s="55">
        <f t="shared" si="5"/>
        <v>400</v>
      </c>
      <c r="H45" s="56"/>
      <c r="I45" s="54">
        <v>4.17</v>
      </c>
      <c r="J45" s="55">
        <f t="shared" si="6"/>
        <v>456</v>
      </c>
      <c r="K45" s="56"/>
      <c r="L45" s="54">
        <v>31.5</v>
      </c>
      <c r="M45" s="55">
        <f t="shared" si="7"/>
        <v>410</v>
      </c>
      <c r="N45" s="56"/>
      <c r="O45" s="57">
        <v>0.0021728009259259257</v>
      </c>
      <c r="P45" s="55">
        <f t="shared" si="8"/>
        <v>345</v>
      </c>
      <c r="Q45" s="58"/>
      <c r="R45" s="59">
        <f t="shared" si="9"/>
        <v>1611</v>
      </c>
      <c r="S45" s="60">
        <v>4</v>
      </c>
    </row>
    <row r="46" spans="1:19" ht="15.75">
      <c r="A46" s="51">
        <v>188</v>
      </c>
      <c r="B46" s="64" t="s">
        <v>97</v>
      </c>
      <c r="C46" s="64" t="s">
        <v>186</v>
      </c>
      <c r="D46" s="62">
        <v>2000</v>
      </c>
      <c r="E46" s="63" t="s">
        <v>16</v>
      </c>
      <c r="F46" s="66">
        <v>8.04</v>
      </c>
      <c r="G46" s="55">
        <f t="shared" si="5"/>
        <v>389</v>
      </c>
      <c r="H46" s="56"/>
      <c r="I46" s="54">
        <v>4.15</v>
      </c>
      <c r="J46" s="55">
        <f t="shared" si="6"/>
        <v>453</v>
      </c>
      <c r="K46" s="56"/>
      <c r="L46" s="54">
        <v>27</v>
      </c>
      <c r="M46" s="55">
        <f t="shared" si="7"/>
        <v>363</v>
      </c>
      <c r="N46" s="56"/>
      <c r="O46" s="57">
        <v>0.0019974537037037035</v>
      </c>
      <c r="P46" s="55">
        <f t="shared" si="8"/>
        <v>403</v>
      </c>
      <c r="Q46" s="58"/>
      <c r="R46" s="59">
        <f t="shared" si="9"/>
        <v>1608</v>
      </c>
      <c r="S46" s="60">
        <v>5</v>
      </c>
    </row>
    <row r="47" spans="1:19" ht="15.75">
      <c r="A47" s="51">
        <v>189</v>
      </c>
      <c r="B47" s="64" t="s">
        <v>101</v>
      </c>
      <c r="C47" s="64" t="s">
        <v>104</v>
      </c>
      <c r="D47" s="62">
        <v>2000</v>
      </c>
      <c r="E47" s="63" t="s">
        <v>16</v>
      </c>
      <c r="F47" s="66">
        <v>8.54</v>
      </c>
      <c r="G47" s="55">
        <f t="shared" si="5"/>
        <v>334</v>
      </c>
      <c r="H47" s="56"/>
      <c r="I47" s="54">
        <v>3.83</v>
      </c>
      <c r="J47" s="55">
        <f t="shared" si="6"/>
        <v>415</v>
      </c>
      <c r="K47" s="56"/>
      <c r="L47" s="54">
        <v>33</v>
      </c>
      <c r="M47" s="55">
        <f t="shared" si="7"/>
        <v>425</v>
      </c>
      <c r="N47" s="56"/>
      <c r="O47" s="57">
        <v>0.002084837962962963</v>
      </c>
      <c r="P47" s="55">
        <f t="shared" si="8"/>
        <v>373</v>
      </c>
      <c r="Q47" s="58"/>
      <c r="R47" s="59">
        <f t="shared" si="9"/>
        <v>1547</v>
      </c>
      <c r="S47" s="60">
        <v>6</v>
      </c>
    </row>
    <row r="48" spans="1:19" ht="15.75">
      <c r="A48" s="51">
        <v>155</v>
      </c>
      <c r="B48" s="52" t="s">
        <v>188</v>
      </c>
      <c r="C48" s="52" t="s">
        <v>115</v>
      </c>
      <c r="D48" s="53">
        <v>2000</v>
      </c>
      <c r="E48" s="63" t="s">
        <v>31</v>
      </c>
      <c r="F48" s="66">
        <v>7.92</v>
      </c>
      <c r="G48" s="55">
        <f t="shared" si="5"/>
        <v>403</v>
      </c>
      <c r="H48" s="56"/>
      <c r="I48" s="54">
        <v>3.97</v>
      </c>
      <c r="J48" s="55">
        <f t="shared" si="6"/>
        <v>432</v>
      </c>
      <c r="K48" s="56"/>
      <c r="L48" s="54">
        <v>26.5</v>
      </c>
      <c r="M48" s="55">
        <f t="shared" si="7"/>
        <v>357</v>
      </c>
      <c r="N48" s="56"/>
      <c r="O48" s="57">
        <v>0.002185300925925926</v>
      </c>
      <c r="P48" s="55">
        <f t="shared" si="8"/>
        <v>342</v>
      </c>
      <c r="Q48" s="58"/>
      <c r="R48" s="59">
        <f t="shared" si="9"/>
        <v>1534</v>
      </c>
      <c r="S48" s="60">
        <v>7</v>
      </c>
    </row>
    <row r="49" spans="1:19" ht="15.75">
      <c r="A49" s="51">
        <v>196</v>
      </c>
      <c r="B49" s="64" t="s">
        <v>189</v>
      </c>
      <c r="C49" s="64" t="s">
        <v>160</v>
      </c>
      <c r="D49" s="62">
        <v>2000</v>
      </c>
      <c r="E49" s="63" t="s">
        <v>16</v>
      </c>
      <c r="F49" s="66">
        <v>8.39</v>
      </c>
      <c r="G49" s="55">
        <f t="shared" si="5"/>
        <v>350</v>
      </c>
      <c r="H49" s="56"/>
      <c r="I49" s="54">
        <v>3.76</v>
      </c>
      <c r="J49" s="55">
        <f t="shared" si="6"/>
        <v>406</v>
      </c>
      <c r="K49" s="56"/>
      <c r="L49" s="54">
        <v>26.5</v>
      </c>
      <c r="M49" s="55">
        <f t="shared" si="7"/>
        <v>357</v>
      </c>
      <c r="N49" s="56"/>
      <c r="O49" s="57">
        <v>0.0022459490740740743</v>
      </c>
      <c r="P49" s="55">
        <f t="shared" si="8"/>
        <v>324</v>
      </c>
      <c r="Q49" s="58"/>
      <c r="R49" s="59">
        <f t="shared" si="9"/>
        <v>1437</v>
      </c>
      <c r="S49" s="60">
        <v>8</v>
      </c>
    </row>
    <row r="50" spans="1:21" ht="15.75">
      <c r="A50" s="51">
        <v>30</v>
      </c>
      <c r="B50" s="52" t="s">
        <v>190</v>
      </c>
      <c r="C50" s="52" t="s">
        <v>191</v>
      </c>
      <c r="D50" s="53">
        <v>2000</v>
      </c>
      <c r="E50" s="52" t="s">
        <v>18</v>
      </c>
      <c r="F50" s="66">
        <v>7.9</v>
      </c>
      <c r="G50" s="55">
        <f t="shared" si="5"/>
        <v>406</v>
      </c>
      <c r="H50" s="56"/>
      <c r="I50" s="54">
        <v>4.02</v>
      </c>
      <c r="J50" s="55">
        <f t="shared" si="6"/>
        <v>438</v>
      </c>
      <c r="K50" s="56"/>
      <c r="L50" s="54">
        <v>17.5</v>
      </c>
      <c r="M50" s="55">
        <f t="shared" si="7"/>
        <v>247</v>
      </c>
      <c r="N50" s="56"/>
      <c r="O50" s="57">
        <v>0.00221875</v>
      </c>
      <c r="P50" s="55">
        <f t="shared" si="8"/>
        <v>332</v>
      </c>
      <c r="Q50" s="58"/>
      <c r="R50" s="59">
        <f t="shared" si="9"/>
        <v>1423</v>
      </c>
      <c r="S50" s="60">
        <v>9</v>
      </c>
      <c r="T50" s="1"/>
      <c r="U50" s="1"/>
    </row>
    <row r="51" spans="1:19" ht="15.75">
      <c r="A51" s="51">
        <v>159</v>
      </c>
      <c r="B51" s="64" t="s">
        <v>192</v>
      </c>
      <c r="C51" s="64" t="s">
        <v>193</v>
      </c>
      <c r="D51" s="62">
        <v>2000</v>
      </c>
      <c r="E51" s="63" t="s">
        <v>31</v>
      </c>
      <c r="F51" s="66">
        <v>8.68</v>
      </c>
      <c r="G51" s="55">
        <f t="shared" si="5"/>
        <v>320</v>
      </c>
      <c r="H51" s="56"/>
      <c r="I51" s="54">
        <v>3.47</v>
      </c>
      <c r="J51" s="55">
        <f t="shared" si="6"/>
        <v>369</v>
      </c>
      <c r="K51" s="56"/>
      <c r="L51" s="54">
        <v>27</v>
      </c>
      <c r="M51" s="55">
        <f t="shared" si="7"/>
        <v>363</v>
      </c>
      <c r="N51" s="56"/>
      <c r="O51" s="57">
        <v>0.002121527777777778</v>
      </c>
      <c r="P51" s="55">
        <f t="shared" si="8"/>
        <v>361</v>
      </c>
      <c r="Q51" s="58"/>
      <c r="R51" s="59">
        <f t="shared" si="9"/>
        <v>1413</v>
      </c>
      <c r="S51" s="60">
        <v>10</v>
      </c>
    </row>
    <row r="52" spans="1:21" ht="15.75">
      <c r="A52" s="51">
        <v>34</v>
      </c>
      <c r="B52" s="52" t="s">
        <v>194</v>
      </c>
      <c r="C52" s="52" t="s">
        <v>195</v>
      </c>
      <c r="D52" s="53">
        <v>2000</v>
      </c>
      <c r="E52" s="52" t="s">
        <v>18</v>
      </c>
      <c r="F52" s="66">
        <v>8.37</v>
      </c>
      <c r="G52" s="55">
        <f t="shared" si="5"/>
        <v>352</v>
      </c>
      <c r="H52" s="56"/>
      <c r="I52" s="54">
        <v>3.9</v>
      </c>
      <c r="J52" s="55">
        <f t="shared" si="6"/>
        <v>423</v>
      </c>
      <c r="K52" s="56"/>
      <c r="L52" s="54">
        <v>20</v>
      </c>
      <c r="M52" s="55">
        <f t="shared" si="7"/>
        <v>280</v>
      </c>
      <c r="N52" s="56"/>
      <c r="O52" s="57">
        <v>0.0022296296296296296</v>
      </c>
      <c r="P52" s="55">
        <f t="shared" si="8"/>
        <v>329</v>
      </c>
      <c r="Q52" s="58"/>
      <c r="R52" s="59">
        <f t="shared" si="9"/>
        <v>1384</v>
      </c>
      <c r="S52" s="60">
        <v>11</v>
      </c>
      <c r="T52" s="1"/>
      <c r="U52" s="1"/>
    </row>
    <row r="53" spans="1:19" ht="15.75">
      <c r="A53" s="51">
        <v>207</v>
      </c>
      <c r="B53" s="52" t="s">
        <v>196</v>
      </c>
      <c r="C53" s="52" t="s">
        <v>197</v>
      </c>
      <c r="D53" s="53">
        <v>2000</v>
      </c>
      <c r="E53" s="52" t="s">
        <v>42</v>
      </c>
      <c r="F53" s="66">
        <v>8.66</v>
      </c>
      <c r="G53" s="55">
        <f t="shared" si="5"/>
        <v>322</v>
      </c>
      <c r="H53" s="56"/>
      <c r="I53" s="54">
        <v>3.11</v>
      </c>
      <c r="J53" s="55">
        <f t="shared" si="6"/>
        <v>322</v>
      </c>
      <c r="K53" s="56"/>
      <c r="L53" s="54">
        <v>28.5</v>
      </c>
      <c r="M53" s="55">
        <f t="shared" si="7"/>
        <v>379</v>
      </c>
      <c r="N53" s="56"/>
      <c r="O53" s="57">
        <v>0.0022703703703703705</v>
      </c>
      <c r="P53" s="55">
        <f t="shared" si="8"/>
        <v>317</v>
      </c>
      <c r="Q53" s="58"/>
      <c r="R53" s="59">
        <f t="shared" si="9"/>
        <v>1340</v>
      </c>
      <c r="S53" s="60">
        <v>12</v>
      </c>
    </row>
    <row r="54" spans="1:19" ht="15.75">
      <c r="A54" s="51">
        <v>29</v>
      </c>
      <c r="B54" s="64" t="s">
        <v>198</v>
      </c>
      <c r="C54" s="64" t="s">
        <v>199</v>
      </c>
      <c r="D54" s="62">
        <v>2000</v>
      </c>
      <c r="E54" s="63" t="s">
        <v>18</v>
      </c>
      <c r="F54" s="66">
        <v>8.85</v>
      </c>
      <c r="G54" s="55">
        <f t="shared" si="5"/>
        <v>303</v>
      </c>
      <c r="H54" s="56"/>
      <c r="I54" s="54">
        <v>3.28</v>
      </c>
      <c r="J54" s="55">
        <f t="shared" si="6"/>
        <v>344</v>
      </c>
      <c r="K54" s="56"/>
      <c r="L54" s="54">
        <v>19.5</v>
      </c>
      <c r="M54" s="55">
        <f t="shared" si="7"/>
        <v>273</v>
      </c>
      <c r="N54" s="56"/>
      <c r="O54" s="57">
        <v>0.0021100694444444444</v>
      </c>
      <c r="P54" s="55">
        <f t="shared" si="8"/>
        <v>365</v>
      </c>
      <c r="Q54" s="58"/>
      <c r="R54" s="59">
        <f t="shared" si="9"/>
        <v>1285</v>
      </c>
      <c r="S54" s="60">
        <v>13</v>
      </c>
    </row>
    <row r="55" spans="1:19" ht="15.75">
      <c r="A55" s="51">
        <v>31</v>
      </c>
      <c r="B55" s="64" t="s">
        <v>200</v>
      </c>
      <c r="C55" s="64" t="s">
        <v>201</v>
      </c>
      <c r="D55" s="62">
        <v>2000</v>
      </c>
      <c r="E55" s="63" t="s">
        <v>18</v>
      </c>
      <c r="F55" s="66">
        <v>9.07</v>
      </c>
      <c r="G55" s="55">
        <f t="shared" si="5"/>
        <v>282</v>
      </c>
      <c r="H55" s="56"/>
      <c r="I55" s="54">
        <v>3.17</v>
      </c>
      <c r="J55" s="55">
        <f t="shared" si="6"/>
        <v>330</v>
      </c>
      <c r="K55" s="56"/>
      <c r="L55" s="54">
        <v>17.5</v>
      </c>
      <c r="M55" s="55">
        <f t="shared" si="7"/>
        <v>247</v>
      </c>
      <c r="N55" s="56"/>
      <c r="O55" s="57">
        <v>0.0021849537037037037</v>
      </c>
      <c r="P55" s="55">
        <f t="shared" si="8"/>
        <v>342</v>
      </c>
      <c r="Q55" s="58"/>
      <c r="R55" s="59">
        <f t="shared" si="9"/>
        <v>1201</v>
      </c>
      <c r="S55" s="60">
        <v>15</v>
      </c>
    </row>
    <row r="56" spans="1:19" ht="15.75">
      <c r="A56" s="51">
        <v>33</v>
      </c>
      <c r="B56" s="52" t="s">
        <v>202</v>
      </c>
      <c r="C56" s="52" t="s">
        <v>203</v>
      </c>
      <c r="D56" s="53">
        <v>2000</v>
      </c>
      <c r="E56" s="52" t="s">
        <v>18</v>
      </c>
      <c r="F56" s="54">
        <v>8.87</v>
      </c>
      <c r="G56" s="55">
        <f t="shared" si="5"/>
        <v>301</v>
      </c>
      <c r="H56" s="56"/>
      <c r="I56" s="54">
        <v>3.42</v>
      </c>
      <c r="J56" s="55">
        <f t="shared" si="6"/>
        <v>363</v>
      </c>
      <c r="K56" s="56"/>
      <c r="L56" s="54">
        <v>19</v>
      </c>
      <c r="M56" s="55">
        <f t="shared" si="7"/>
        <v>267</v>
      </c>
      <c r="N56" s="56"/>
      <c r="O56" s="57">
        <v>0.0024611111111111114</v>
      </c>
      <c r="P56" s="55">
        <f t="shared" si="8"/>
        <v>268</v>
      </c>
      <c r="Q56" s="58"/>
      <c r="R56" s="59">
        <f t="shared" si="9"/>
        <v>1199</v>
      </c>
      <c r="S56" s="60">
        <v>16</v>
      </c>
    </row>
    <row r="57" spans="1:19" ht="15.75">
      <c r="A57" s="51">
        <v>219</v>
      </c>
      <c r="B57" s="64" t="s">
        <v>204</v>
      </c>
      <c r="C57" s="64" t="s">
        <v>205</v>
      </c>
      <c r="D57" s="62">
        <v>2000</v>
      </c>
      <c r="E57" s="63" t="s">
        <v>29</v>
      </c>
      <c r="F57" s="66">
        <v>8.22</v>
      </c>
      <c r="G57" s="55">
        <f t="shared" si="5"/>
        <v>368</v>
      </c>
      <c r="H57" s="56"/>
      <c r="I57" s="54">
        <v>3.76</v>
      </c>
      <c r="J57" s="55">
        <f t="shared" si="6"/>
        <v>406</v>
      </c>
      <c r="K57" s="56"/>
      <c r="L57" s="54">
        <v>28.5</v>
      </c>
      <c r="M57" s="55">
        <f t="shared" si="7"/>
        <v>379</v>
      </c>
      <c r="N57" s="56"/>
      <c r="O57" s="57" t="s">
        <v>25</v>
      </c>
      <c r="P57" s="55">
        <v>0</v>
      </c>
      <c r="Q57" s="58"/>
      <c r="R57" s="59">
        <f t="shared" si="9"/>
        <v>1153</v>
      </c>
      <c r="S57" s="60">
        <v>17</v>
      </c>
    </row>
    <row r="58" spans="1:19" ht="15.75">
      <c r="A58" s="51">
        <v>163</v>
      </c>
      <c r="B58" s="64" t="s">
        <v>114</v>
      </c>
      <c r="C58" s="64" t="s">
        <v>83</v>
      </c>
      <c r="D58" s="62">
        <v>2000</v>
      </c>
      <c r="E58" s="63" t="s">
        <v>31</v>
      </c>
      <c r="F58" s="66">
        <v>9.21</v>
      </c>
      <c r="G58" s="55">
        <f t="shared" si="5"/>
        <v>269</v>
      </c>
      <c r="H58" s="56"/>
      <c r="I58" s="54">
        <v>3.09</v>
      </c>
      <c r="J58" s="55">
        <f t="shared" si="6"/>
        <v>319</v>
      </c>
      <c r="K58" s="56"/>
      <c r="L58" s="54">
        <v>22.5</v>
      </c>
      <c r="M58" s="55">
        <f t="shared" si="7"/>
        <v>311</v>
      </c>
      <c r="N58" s="56"/>
      <c r="O58" s="57">
        <v>0.0027444444444444448</v>
      </c>
      <c r="P58" s="55">
        <f>IF(O58&gt;0,ROUNDDOWN(((800/(O58*86400))-2.0232)/0.00647,0)," ")</f>
        <v>208</v>
      </c>
      <c r="Q58" s="58"/>
      <c r="R58" s="59">
        <f t="shared" si="9"/>
        <v>1107</v>
      </c>
      <c r="S58" s="60">
        <v>18</v>
      </c>
    </row>
    <row r="59" spans="1:19" ht="15.75">
      <c r="A59" s="51">
        <v>256</v>
      </c>
      <c r="B59" s="64" t="s">
        <v>206</v>
      </c>
      <c r="C59" s="64" t="s">
        <v>207</v>
      </c>
      <c r="D59" s="62">
        <v>2000</v>
      </c>
      <c r="E59" s="63" t="s">
        <v>39</v>
      </c>
      <c r="F59" s="66">
        <v>9.52</v>
      </c>
      <c r="G59" s="55">
        <f t="shared" si="5"/>
        <v>243</v>
      </c>
      <c r="H59" s="56"/>
      <c r="I59" s="54">
        <v>2.76</v>
      </c>
      <c r="J59" s="55">
        <f t="shared" si="6"/>
        <v>272</v>
      </c>
      <c r="K59" s="56"/>
      <c r="L59" s="54">
        <v>20.5</v>
      </c>
      <c r="M59" s="55">
        <f t="shared" si="7"/>
        <v>286</v>
      </c>
      <c r="N59" s="56"/>
      <c r="O59" s="57">
        <v>0.0023422453703703704</v>
      </c>
      <c r="P59" s="55">
        <f>IF(O59&gt;0,ROUNDDOWN(((800/(O59*86400))-2.0232)/0.00647,0)," ")</f>
        <v>298</v>
      </c>
      <c r="Q59" s="58"/>
      <c r="R59" s="59">
        <f t="shared" si="9"/>
        <v>1099</v>
      </c>
      <c r="S59" s="60">
        <v>14</v>
      </c>
    </row>
    <row r="60" spans="1:19" ht="15.75">
      <c r="A60" s="51">
        <v>236</v>
      </c>
      <c r="B60" s="52" t="s">
        <v>208</v>
      </c>
      <c r="C60" s="52" t="s">
        <v>209</v>
      </c>
      <c r="D60" s="53">
        <v>2000</v>
      </c>
      <c r="E60" s="63" t="s">
        <v>27</v>
      </c>
      <c r="F60" s="66">
        <v>9.4</v>
      </c>
      <c r="G60" s="55">
        <f t="shared" si="5"/>
        <v>253</v>
      </c>
      <c r="H60" s="56"/>
      <c r="I60" s="54">
        <v>3.01</v>
      </c>
      <c r="J60" s="55">
        <f t="shared" si="6"/>
        <v>308</v>
      </c>
      <c r="K60" s="56"/>
      <c r="L60" s="54">
        <v>19</v>
      </c>
      <c r="M60" s="55">
        <f t="shared" si="7"/>
        <v>267</v>
      </c>
      <c r="N60" s="56"/>
      <c r="O60" s="57">
        <v>0.002569212962962963</v>
      </c>
      <c r="P60" s="55">
        <f>IF(O60&gt;0,ROUNDDOWN(((800/(O60*86400))-2.0232)/0.00647,0)," ")</f>
        <v>244</v>
      </c>
      <c r="Q60" s="58"/>
      <c r="R60" s="59">
        <f t="shared" si="9"/>
        <v>1072</v>
      </c>
      <c r="S60" s="60">
        <v>19</v>
      </c>
    </row>
    <row r="61" spans="1:19" ht="15.75">
      <c r="A61" s="51">
        <v>241</v>
      </c>
      <c r="B61" s="64" t="s">
        <v>210</v>
      </c>
      <c r="C61" s="64" t="s">
        <v>88</v>
      </c>
      <c r="D61" s="62">
        <v>2000</v>
      </c>
      <c r="E61" s="63" t="s">
        <v>27</v>
      </c>
      <c r="F61" s="66">
        <v>8.29</v>
      </c>
      <c r="G61" s="55">
        <f t="shared" si="5"/>
        <v>361</v>
      </c>
      <c r="H61" s="56"/>
      <c r="I61" s="54">
        <v>3.36</v>
      </c>
      <c r="J61" s="55">
        <f t="shared" si="6"/>
        <v>355</v>
      </c>
      <c r="K61" s="56"/>
      <c r="L61" s="54">
        <v>22</v>
      </c>
      <c r="M61" s="55">
        <f t="shared" si="7"/>
        <v>305</v>
      </c>
      <c r="N61" s="56"/>
      <c r="O61" s="57" t="s">
        <v>36</v>
      </c>
      <c r="P61" s="55">
        <v>0</v>
      </c>
      <c r="Q61" s="58"/>
      <c r="R61" s="59">
        <f t="shared" si="9"/>
        <v>1021</v>
      </c>
      <c r="S61" s="60">
        <v>20</v>
      </c>
    </row>
    <row r="62" spans="1:19" ht="15.75">
      <c r="A62" s="51"/>
      <c r="B62" s="64"/>
      <c r="C62" s="64"/>
      <c r="D62" s="62"/>
      <c r="E62" s="63"/>
      <c r="F62" s="66"/>
      <c r="G62" s="55" t="str">
        <f t="shared" si="5"/>
        <v> </v>
      </c>
      <c r="H62" s="56"/>
      <c r="I62" s="54"/>
      <c r="J62" s="55" t="str">
        <f t="shared" si="6"/>
        <v> </v>
      </c>
      <c r="K62" s="56"/>
      <c r="L62" s="54"/>
      <c r="M62" s="55" t="str">
        <f t="shared" si="7"/>
        <v> </v>
      </c>
      <c r="N62" s="56"/>
      <c r="O62" s="57"/>
      <c r="P62" s="55" t="str">
        <f>IF(O62&gt;0,ROUNDDOWN(((800/(O62*86400))-2.0232)/0.00647,0)," ")</f>
        <v> </v>
      </c>
      <c r="Q62" s="58"/>
      <c r="R62" s="59">
        <f t="shared" si="9"/>
        <v>0</v>
      </c>
      <c r="S62" s="60"/>
    </row>
    <row r="63" spans="16:19" ht="12.75">
      <c r="P63" s="35"/>
      <c r="Q63" s="35"/>
      <c r="R63" s="35"/>
      <c r="S63" s="35"/>
    </row>
  </sheetData>
  <sheetProtection/>
  <mergeCells count="24">
    <mergeCell ref="I3:K3"/>
    <mergeCell ref="L3:N3"/>
    <mergeCell ref="O3:Q3"/>
    <mergeCell ref="R3:S3"/>
    <mergeCell ref="A1:I1"/>
    <mergeCell ref="L1:N1"/>
    <mergeCell ref="A3:A4"/>
    <mergeCell ref="B3:B4"/>
    <mergeCell ref="C3:C4"/>
    <mergeCell ref="D3:D4"/>
    <mergeCell ref="I39:K39"/>
    <mergeCell ref="L39:N39"/>
    <mergeCell ref="O39:Q39"/>
    <mergeCell ref="R39:S39"/>
    <mergeCell ref="A37:I37"/>
    <mergeCell ref="L37:N37"/>
    <mergeCell ref="A39:A40"/>
    <mergeCell ref="B39:B40"/>
    <mergeCell ref="C39:C40"/>
    <mergeCell ref="D39:D40"/>
    <mergeCell ref="E39:E40"/>
    <mergeCell ref="F39:H39"/>
    <mergeCell ref="E3:E4"/>
    <mergeCell ref="F3:H3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7.33203125" style="3" customWidth="1"/>
    <col min="13" max="13" width="5.83203125" style="0" customWidth="1"/>
    <col min="14" max="14" width="2.83203125" style="0" customWidth="1"/>
    <col min="15" max="15" width="7.33203125" style="3" customWidth="1"/>
    <col min="16" max="16" width="5.83203125" style="0" customWidth="1"/>
    <col min="17" max="17" width="2.83203125" style="0" customWidth="1"/>
    <col min="18" max="18" width="10.83203125" style="4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6" customFormat="1" ht="18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L1" s="50"/>
      <c r="M1" s="5"/>
      <c r="O1" s="80"/>
      <c r="P1" s="80"/>
      <c r="Q1" s="80"/>
      <c r="R1" s="7"/>
      <c r="S1" s="8" t="s">
        <v>244</v>
      </c>
      <c r="V1" s="8" t="s">
        <v>245</v>
      </c>
    </row>
    <row r="2" ht="12.75" customHeight="1"/>
    <row r="3" spans="1:22" ht="15.75">
      <c r="A3" s="81" t="s">
        <v>2</v>
      </c>
      <c r="B3" s="82" t="s">
        <v>3</v>
      </c>
      <c r="C3" s="82" t="s">
        <v>4</v>
      </c>
      <c r="D3" s="81" t="s">
        <v>5</v>
      </c>
      <c r="E3" s="82" t="s">
        <v>6</v>
      </c>
      <c r="F3" s="84" t="s">
        <v>43</v>
      </c>
      <c r="G3" s="84"/>
      <c r="H3" s="84"/>
      <c r="I3" s="84" t="s">
        <v>44</v>
      </c>
      <c r="J3" s="84"/>
      <c r="K3" s="84"/>
      <c r="L3" s="77" t="s">
        <v>8</v>
      </c>
      <c r="M3" s="77"/>
      <c r="N3" s="77"/>
      <c r="O3" s="77" t="s">
        <v>45</v>
      </c>
      <c r="P3" s="77"/>
      <c r="Q3" s="77"/>
      <c r="R3" s="77" t="s">
        <v>288</v>
      </c>
      <c r="S3" s="77"/>
      <c r="T3" s="77"/>
      <c r="U3" s="78" t="s">
        <v>11</v>
      </c>
      <c r="V3" s="78"/>
    </row>
    <row r="4" spans="1:22" s="1" customFormat="1" ht="15.75">
      <c r="A4" s="81"/>
      <c r="B4" s="82"/>
      <c r="C4" s="82"/>
      <c r="D4" s="81"/>
      <c r="E4" s="82"/>
      <c r="F4" s="9" t="s">
        <v>12</v>
      </c>
      <c r="G4" s="10" t="s">
        <v>13</v>
      </c>
      <c r="H4" s="11"/>
      <c r="I4" s="9" t="s">
        <v>12</v>
      </c>
      <c r="J4" s="10" t="s">
        <v>13</v>
      </c>
      <c r="K4" s="11"/>
      <c r="L4" s="12" t="s">
        <v>14</v>
      </c>
      <c r="M4" s="10" t="s">
        <v>13</v>
      </c>
      <c r="N4" s="11"/>
      <c r="O4" s="12" t="s">
        <v>14</v>
      </c>
      <c r="P4" s="10" t="s">
        <v>13</v>
      </c>
      <c r="Q4" s="11"/>
      <c r="R4" s="13" t="s">
        <v>12</v>
      </c>
      <c r="S4" s="10" t="s">
        <v>13</v>
      </c>
      <c r="T4" s="11"/>
      <c r="U4" s="14" t="s">
        <v>13</v>
      </c>
      <c r="V4" s="15" t="s">
        <v>15</v>
      </c>
    </row>
    <row r="5" spans="1:22" ht="15.75">
      <c r="A5" s="28"/>
      <c r="B5" s="49"/>
      <c r="C5" s="29"/>
      <c r="D5" s="36"/>
      <c r="E5" s="29"/>
      <c r="F5" s="20"/>
      <c r="G5" s="21" t="str">
        <f>IF(F5&gt;0,ROUNDDOWN(((75/F5)-4.1)/0.00664,0)," ")</f>
        <v> </v>
      </c>
      <c r="H5" s="22"/>
      <c r="I5" s="20"/>
      <c r="J5" s="21" t="str">
        <f>IF(I5&gt;0,ROUNDDOWN(((60/I5)-3.04)/0.0056,0)," ")</f>
        <v> </v>
      </c>
      <c r="K5" s="22"/>
      <c r="L5" s="23"/>
      <c r="M5" s="21" t="str">
        <f>IF(L5&gt;0,ROUNDDOWN((SQRT(L5)-1.15028)/0.00219,0)," ")</f>
        <v> </v>
      </c>
      <c r="N5" s="22"/>
      <c r="O5" s="23"/>
      <c r="P5" s="21" t="str">
        <f>IF(O5&gt;0,ROUNDDOWN((SQRT(O5)-1.936)/0.0124,0)," ")</f>
        <v> </v>
      </c>
      <c r="Q5" s="22"/>
      <c r="R5" s="24"/>
      <c r="S5" s="21" t="str">
        <f>IF(R5&gt;0,ROUNDDOWN(((1000/(R5*86400))-2.158)/0.006,0)," ")</f>
        <v> </v>
      </c>
      <c r="T5" s="25"/>
      <c r="U5" s="26">
        <f aca="true" t="shared" si="0" ref="U5:U23">SUM(G5,J5,M5,P5,S5)</f>
        <v>0</v>
      </c>
      <c r="V5" s="27"/>
    </row>
    <row r="6" spans="1:22" ht="15.75">
      <c r="A6" s="51">
        <v>217</v>
      </c>
      <c r="B6" s="64" t="s">
        <v>130</v>
      </c>
      <c r="C6" s="64" t="s">
        <v>88</v>
      </c>
      <c r="D6" s="62">
        <v>1999</v>
      </c>
      <c r="E6" s="63" t="s">
        <v>29</v>
      </c>
      <c r="F6" s="66">
        <v>11.32</v>
      </c>
      <c r="G6" s="55">
        <f aca="true" t="shared" si="1" ref="G6:G23">IF(F6&gt;0,ROUNDDOWN(((75/F6)-3.998)/0.0066,0)," ")</f>
        <v>398</v>
      </c>
      <c r="H6" s="56" t="s">
        <v>48</v>
      </c>
      <c r="I6" s="66">
        <v>11.57</v>
      </c>
      <c r="J6" s="55">
        <f aca="true" t="shared" si="2" ref="J6:J19">IF(I6&gt;0,ROUNDDOWN(((60/I6)-2.1202)/0.0068,0)," ")</f>
        <v>450</v>
      </c>
      <c r="K6" s="56" t="s">
        <v>48</v>
      </c>
      <c r="L6" s="54">
        <v>4.21</v>
      </c>
      <c r="M6" s="55">
        <f aca="true" t="shared" si="3" ref="M6:M21">IF(L6&gt;0,ROUNDDOWN((SQRT(L6)-1.0935)/0.00208,0)," ")</f>
        <v>460</v>
      </c>
      <c r="N6" s="56"/>
      <c r="O6" s="54">
        <v>41.5</v>
      </c>
      <c r="P6" s="55">
        <f aca="true" t="shared" si="4" ref="P6:P20">IF(O6&gt;0,ROUNDDOWN((SQRT(O6)-2.0232)/0.00874,0)," ")</f>
        <v>505</v>
      </c>
      <c r="Q6" s="56"/>
      <c r="R6" s="57">
        <v>0.002044907407407407</v>
      </c>
      <c r="S6" s="55">
        <f aca="true" t="shared" si="5" ref="S6:S18">IF(R6&gt;0,ROUNDDOWN(((800/(R6*86400))-2.0232)/0.00647,0)," ")</f>
        <v>387</v>
      </c>
      <c r="T6" s="58"/>
      <c r="U6" s="59">
        <f t="shared" si="0"/>
        <v>2200</v>
      </c>
      <c r="V6" s="60">
        <v>1</v>
      </c>
    </row>
    <row r="7" spans="1:22" ht="15.75">
      <c r="A7" s="51">
        <v>206</v>
      </c>
      <c r="B7" s="52" t="s">
        <v>217</v>
      </c>
      <c r="C7" s="52" t="s">
        <v>83</v>
      </c>
      <c r="D7" s="53">
        <v>1999</v>
      </c>
      <c r="E7" s="52" t="s">
        <v>42</v>
      </c>
      <c r="F7" s="66">
        <v>11.19</v>
      </c>
      <c r="G7" s="55">
        <f t="shared" si="1"/>
        <v>409</v>
      </c>
      <c r="H7" s="56" t="s">
        <v>48</v>
      </c>
      <c r="I7" s="66">
        <v>12.84</v>
      </c>
      <c r="J7" s="55">
        <f t="shared" si="2"/>
        <v>375</v>
      </c>
      <c r="K7" s="56" t="s">
        <v>46</v>
      </c>
      <c r="L7" s="54">
        <v>4.39</v>
      </c>
      <c r="M7" s="55">
        <f t="shared" si="3"/>
        <v>481</v>
      </c>
      <c r="N7" s="56"/>
      <c r="O7" s="54">
        <v>33.5</v>
      </c>
      <c r="P7" s="55">
        <f t="shared" si="4"/>
        <v>430</v>
      </c>
      <c r="Q7" s="56"/>
      <c r="R7" s="57">
        <v>0.0019890046296296296</v>
      </c>
      <c r="S7" s="55">
        <f t="shared" si="5"/>
        <v>406</v>
      </c>
      <c r="T7" s="58"/>
      <c r="U7" s="59">
        <f t="shared" si="0"/>
        <v>2101</v>
      </c>
      <c r="V7" s="60">
        <v>2</v>
      </c>
    </row>
    <row r="8" spans="1:22" ht="15.75">
      <c r="A8" s="51">
        <v>117</v>
      </c>
      <c r="B8" s="52" t="s">
        <v>218</v>
      </c>
      <c r="C8" s="52" t="s">
        <v>219</v>
      </c>
      <c r="D8" s="53">
        <v>1999</v>
      </c>
      <c r="E8" s="52" t="s">
        <v>47</v>
      </c>
      <c r="F8" s="66">
        <v>11.57</v>
      </c>
      <c r="G8" s="55">
        <f t="shared" si="1"/>
        <v>376</v>
      </c>
      <c r="H8" s="56" t="s">
        <v>46</v>
      </c>
      <c r="I8" s="66">
        <v>12.51</v>
      </c>
      <c r="J8" s="55">
        <f t="shared" si="2"/>
        <v>393</v>
      </c>
      <c r="K8" s="56" t="s">
        <v>46</v>
      </c>
      <c r="L8" s="54">
        <v>4</v>
      </c>
      <c r="M8" s="55">
        <f t="shared" si="3"/>
        <v>435</v>
      </c>
      <c r="N8" s="56"/>
      <c r="O8" s="54">
        <v>31.5</v>
      </c>
      <c r="P8" s="55">
        <f t="shared" si="4"/>
        <v>410</v>
      </c>
      <c r="Q8" s="56"/>
      <c r="R8" s="57">
        <v>0.002030787037037037</v>
      </c>
      <c r="S8" s="55">
        <f t="shared" si="5"/>
        <v>392</v>
      </c>
      <c r="T8" s="58"/>
      <c r="U8" s="59">
        <f t="shared" si="0"/>
        <v>2006</v>
      </c>
      <c r="V8" s="60">
        <v>3</v>
      </c>
    </row>
    <row r="9" spans="1:22" ht="15.75">
      <c r="A9" s="51">
        <v>160</v>
      </c>
      <c r="B9" s="52" t="s">
        <v>220</v>
      </c>
      <c r="C9" s="52" t="s">
        <v>221</v>
      </c>
      <c r="D9" s="53">
        <v>1999</v>
      </c>
      <c r="E9" s="52" t="s">
        <v>31</v>
      </c>
      <c r="F9" s="66">
        <v>12.2</v>
      </c>
      <c r="G9" s="55">
        <f t="shared" si="1"/>
        <v>325</v>
      </c>
      <c r="H9" s="56" t="s">
        <v>53</v>
      </c>
      <c r="I9" s="66">
        <v>11.64</v>
      </c>
      <c r="J9" s="55">
        <f t="shared" si="2"/>
        <v>446</v>
      </c>
      <c r="K9" s="56" t="s">
        <v>53</v>
      </c>
      <c r="L9" s="54">
        <v>3.91</v>
      </c>
      <c r="M9" s="55">
        <f t="shared" si="3"/>
        <v>424</v>
      </c>
      <c r="N9" s="56"/>
      <c r="O9" s="54">
        <v>31</v>
      </c>
      <c r="P9" s="55">
        <f t="shared" si="4"/>
        <v>405</v>
      </c>
      <c r="Q9" s="56"/>
      <c r="R9" s="57">
        <v>0.0021210648148148148</v>
      </c>
      <c r="S9" s="55">
        <f t="shared" si="5"/>
        <v>362</v>
      </c>
      <c r="T9" s="58"/>
      <c r="U9" s="59">
        <f t="shared" si="0"/>
        <v>1962</v>
      </c>
      <c r="V9" s="60">
        <v>4</v>
      </c>
    </row>
    <row r="10" spans="1:22" ht="15.75">
      <c r="A10" s="51">
        <v>141</v>
      </c>
      <c r="B10" s="64" t="s">
        <v>222</v>
      </c>
      <c r="C10" s="64" t="s">
        <v>223</v>
      </c>
      <c r="D10" s="62">
        <v>1999</v>
      </c>
      <c r="E10" s="63" t="s">
        <v>39</v>
      </c>
      <c r="F10" s="66">
        <v>11.24</v>
      </c>
      <c r="G10" s="55">
        <f t="shared" si="1"/>
        <v>405</v>
      </c>
      <c r="H10" s="56" t="s">
        <v>53</v>
      </c>
      <c r="I10" s="66">
        <v>11.46</v>
      </c>
      <c r="J10" s="55">
        <f t="shared" si="2"/>
        <v>458</v>
      </c>
      <c r="K10" s="56" t="s">
        <v>53</v>
      </c>
      <c r="L10" s="54">
        <v>3.44</v>
      </c>
      <c r="M10" s="55">
        <f t="shared" si="3"/>
        <v>365</v>
      </c>
      <c r="N10" s="56"/>
      <c r="O10" s="54">
        <v>21</v>
      </c>
      <c r="P10" s="55">
        <f t="shared" si="4"/>
        <v>292</v>
      </c>
      <c r="Q10" s="56"/>
      <c r="R10" s="57">
        <v>0.001904976851851852</v>
      </c>
      <c r="S10" s="55">
        <f t="shared" si="5"/>
        <v>438</v>
      </c>
      <c r="T10" s="58"/>
      <c r="U10" s="59">
        <f t="shared" si="0"/>
        <v>1958</v>
      </c>
      <c r="V10" s="60">
        <v>5</v>
      </c>
    </row>
    <row r="11" spans="1:22" s="1" customFormat="1" ht="15.75">
      <c r="A11" s="51">
        <v>119</v>
      </c>
      <c r="B11" s="52" t="s">
        <v>224</v>
      </c>
      <c r="C11" s="52" t="s">
        <v>225</v>
      </c>
      <c r="D11" s="53">
        <v>1999</v>
      </c>
      <c r="E11" s="52" t="s">
        <v>47</v>
      </c>
      <c r="F11" s="66">
        <v>11.81</v>
      </c>
      <c r="G11" s="55">
        <f t="shared" si="1"/>
        <v>356</v>
      </c>
      <c r="H11" s="56" t="s">
        <v>53</v>
      </c>
      <c r="I11" s="66">
        <v>13.08</v>
      </c>
      <c r="J11" s="55">
        <f t="shared" si="2"/>
        <v>362</v>
      </c>
      <c r="K11" s="56" t="s">
        <v>53</v>
      </c>
      <c r="L11" s="54">
        <v>3.82</v>
      </c>
      <c r="M11" s="55">
        <f t="shared" si="3"/>
        <v>413</v>
      </c>
      <c r="N11" s="56"/>
      <c r="O11" s="54">
        <v>23.5</v>
      </c>
      <c r="P11" s="55">
        <f t="shared" si="4"/>
        <v>323</v>
      </c>
      <c r="Q11" s="56"/>
      <c r="R11" s="57">
        <v>0.0018679398148148151</v>
      </c>
      <c r="S11" s="55">
        <f t="shared" si="5"/>
        <v>453</v>
      </c>
      <c r="T11" s="58"/>
      <c r="U11" s="59">
        <f t="shared" si="0"/>
        <v>1907</v>
      </c>
      <c r="V11" s="60">
        <v>6</v>
      </c>
    </row>
    <row r="12" spans="1:22" ht="15.75">
      <c r="A12" s="51">
        <v>181</v>
      </c>
      <c r="B12" s="52" t="s">
        <v>226</v>
      </c>
      <c r="C12" s="52" t="s">
        <v>225</v>
      </c>
      <c r="D12" s="53">
        <v>1999</v>
      </c>
      <c r="E12" s="52" t="s">
        <v>16</v>
      </c>
      <c r="F12" s="66">
        <v>11.91</v>
      </c>
      <c r="G12" s="55">
        <f t="shared" si="1"/>
        <v>348</v>
      </c>
      <c r="H12" s="56" t="s">
        <v>48</v>
      </c>
      <c r="I12" s="66">
        <v>12.13</v>
      </c>
      <c r="J12" s="55">
        <f t="shared" si="2"/>
        <v>415</v>
      </c>
      <c r="K12" s="56" t="s">
        <v>48</v>
      </c>
      <c r="L12" s="54">
        <v>3.73</v>
      </c>
      <c r="M12" s="55">
        <f t="shared" si="3"/>
        <v>402</v>
      </c>
      <c r="N12" s="56"/>
      <c r="O12" s="54">
        <v>21.5</v>
      </c>
      <c r="P12" s="55">
        <f t="shared" si="4"/>
        <v>299</v>
      </c>
      <c r="Q12" s="56"/>
      <c r="R12" s="57">
        <v>0.0020152777777777777</v>
      </c>
      <c r="S12" s="55">
        <f t="shared" si="5"/>
        <v>397</v>
      </c>
      <c r="T12" s="58"/>
      <c r="U12" s="59">
        <f t="shared" si="0"/>
        <v>1861</v>
      </c>
      <c r="V12" s="60">
        <v>7</v>
      </c>
    </row>
    <row r="13" spans="1:22" ht="15.75">
      <c r="A13" s="51">
        <v>169</v>
      </c>
      <c r="B13" s="52" t="s">
        <v>227</v>
      </c>
      <c r="C13" s="52" t="s">
        <v>228</v>
      </c>
      <c r="D13" s="53">
        <v>1999</v>
      </c>
      <c r="E13" s="52" t="s">
        <v>31</v>
      </c>
      <c r="F13" s="66">
        <v>11.95</v>
      </c>
      <c r="G13" s="55">
        <f t="shared" si="1"/>
        <v>345</v>
      </c>
      <c r="H13" s="56" t="s">
        <v>53</v>
      </c>
      <c r="I13" s="66">
        <v>14</v>
      </c>
      <c r="J13" s="55">
        <f t="shared" si="2"/>
        <v>318</v>
      </c>
      <c r="K13" s="56" t="s">
        <v>53</v>
      </c>
      <c r="L13" s="54">
        <v>3.67</v>
      </c>
      <c r="M13" s="55">
        <f t="shared" si="3"/>
        <v>395</v>
      </c>
      <c r="N13" s="56"/>
      <c r="O13" s="54">
        <v>27</v>
      </c>
      <c r="P13" s="55">
        <f t="shared" si="4"/>
        <v>363</v>
      </c>
      <c r="Q13" s="56"/>
      <c r="R13" s="57">
        <v>0.001994675925925926</v>
      </c>
      <c r="S13" s="55">
        <f t="shared" si="5"/>
        <v>404</v>
      </c>
      <c r="T13" s="58"/>
      <c r="U13" s="59">
        <f t="shared" si="0"/>
        <v>1825</v>
      </c>
      <c r="V13" s="60">
        <v>8</v>
      </c>
    </row>
    <row r="14" spans="1:22" ht="15.75">
      <c r="A14" s="51">
        <v>140</v>
      </c>
      <c r="B14" s="52" t="s">
        <v>229</v>
      </c>
      <c r="C14" s="52" t="s">
        <v>230</v>
      </c>
      <c r="D14" s="53">
        <v>1999</v>
      </c>
      <c r="E14" s="52" t="s">
        <v>39</v>
      </c>
      <c r="F14" s="66">
        <v>11.81</v>
      </c>
      <c r="G14" s="55">
        <f t="shared" si="1"/>
        <v>356</v>
      </c>
      <c r="H14" s="56" t="s">
        <v>53</v>
      </c>
      <c r="I14" s="66">
        <v>13</v>
      </c>
      <c r="J14" s="55">
        <f t="shared" si="2"/>
        <v>366</v>
      </c>
      <c r="K14" s="56" t="s">
        <v>53</v>
      </c>
      <c r="L14" s="54">
        <v>3.62</v>
      </c>
      <c r="M14" s="55">
        <f t="shared" si="3"/>
        <v>389</v>
      </c>
      <c r="N14" s="56"/>
      <c r="O14" s="54">
        <v>22.5</v>
      </c>
      <c r="P14" s="55">
        <f t="shared" si="4"/>
        <v>311</v>
      </c>
      <c r="Q14" s="56"/>
      <c r="R14" s="57">
        <v>0.00208912037037037</v>
      </c>
      <c r="S14" s="55">
        <f t="shared" si="5"/>
        <v>372</v>
      </c>
      <c r="T14" s="58"/>
      <c r="U14" s="59">
        <f t="shared" si="0"/>
        <v>1794</v>
      </c>
      <c r="V14" s="60">
        <v>9</v>
      </c>
    </row>
    <row r="15" spans="1:22" s="1" customFormat="1" ht="15.75">
      <c r="A15" s="51">
        <v>101</v>
      </c>
      <c r="B15" s="64" t="s">
        <v>52</v>
      </c>
      <c r="C15" s="64" t="s">
        <v>207</v>
      </c>
      <c r="D15" s="62">
        <v>1999</v>
      </c>
      <c r="E15" s="63" t="s">
        <v>32</v>
      </c>
      <c r="F15" s="66">
        <v>11.83</v>
      </c>
      <c r="G15" s="55">
        <f t="shared" si="1"/>
        <v>354</v>
      </c>
      <c r="H15" s="56" t="s">
        <v>48</v>
      </c>
      <c r="I15" s="66">
        <v>13.69</v>
      </c>
      <c r="J15" s="55">
        <f t="shared" si="2"/>
        <v>332</v>
      </c>
      <c r="K15" s="56" t="s">
        <v>48</v>
      </c>
      <c r="L15" s="54">
        <v>3.54</v>
      </c>
      <c r="M15" s="55">
        <f t="shared" si="3"/>
        <v>378</v>
      </c>
      <c r="N15" s="56"/>
      <c r="O15" s="54">
        <v>27</v>
      </c>
      <c r="P15" s="55">
        <f t="shared" si="4"/>
        <v>363</v>
      </c>
      <c r="Q15" s="56"/>
      <c r="R15" s="57">
        <v>0.002182407407407407</v>
      </c>
      <c r="S15" s="55">
        <f t="shared" si="5"/>
        <v>343</v>
      </c>
      <c r="T15" s="58"/>
      <c r="U15" s="59">
        <f t="shared" si="0"/>
        <v>1770</v>
      </c>
      <c r="V15" s="60">
        <v>10</v>
      </c>
    </row>
    <row r="16" spans="1:22" s="1" customFormat="1" ht="15.75">
      <c r="A16" s="51">
        <v>138</v>
      </c>
      <c r="B16" s="64" t="s">
        <v>64</v>
      </c>
      <c r="C16" s="64" t="s">
        <v>83</v>
      </c>
      <c r="D16" s="62">
        <v>1999</v>
      </c>
      <c r="E16" s="63" t="s">
        <v>39</v>
      </c>
      <c r="F16" s="66">
        <v>11.26</v>
      </c>
      <c r="G16" s="55">
        <f t="shared" si="1"/>
        <v>403</v>
      </c>
      <c r="H16" s="56" t="s">
        <v>46</v>
      </c>
      <c r="I16" s="66">
        <v>14.14</v>
      </c>
      <c r="J16" s="55">
        <f t="shared" si="2"/>
        <v>312</v>
      </c>
      <c r="K16" s="56" t="s">
        <v>53</v>
      </c>
      <c r="L16" s="54">
        <v>3.47</v>
      </c>
      <c r="M16" s="55">
        <f t="shared" si="3"/>
        <v>369</v>
      </c>
      <c r="N16" s="56"/>
      <c r="O16" s="54">
        <v>21</v>
      </c>
      <c r="P16" s="55">
        <f t="shared" si="4"/>
        <v>292</v>
      </c>
      <c r="Q16" s="56"/>
      <c r="R16" s="57">
        <v>0.0021240740740740742</v>
      </c>
      <c r="S16" s="55">
        <f t="shared" si="5"/>
        <v>361</v>
      </c>
      <c r="T16" s="58"/>
      <c r="U16" s="59">
        <f t="shared" si="0"/>
        <v>1737</v>
      </c>
      <c r="V16" s="60">
        <v>11</v>
      </c>
    </row>
    <row r="17" spans="1:22" s="1" customFormat="1" ht="15.75">
      <c r="A17" s="51">
        <v>96</v>
      </c>
      <c r="B17" s="64" t="s">
        <v>231</v>
      </c>
      <c r="C17" s="64" t="s">
        <v>232</v>
      </c>
      <c r="D17" s="62">
        <v>1999</v>
      </c>
      <c r="E17" s="63" t="s">
        <v>32</v>
      </c>
      <c r="F17" s="66">
        <v>12.56</v>
      </c>
      <c r="G17" s="55">
        <f t="shared" si="1"/>
        <v>298</v>
      </c>
      <c r="H17" s="56" t="s">
        <v>48</v>
      </c>
      <c r="I17" s="66">
        <v>14.49</v>
      </c>
      <c r="J17" s="55">
        <f t="shared" si="2"/>
        <v>297</v>
      </c>
      <c r="K17" s="56" t="s">
        <v>48</v>
      </c>
      <c r="L17" s="54">
        <v>3.37</v>
      </c>
      <c r="M17" s="55">
        <f t="shared" si="3"/>
        <v>356</v>
      </c>
      <c r="N17" s="56"/>
      <c r="O17" s="54">
        <v>33</v>
      </c>
      <c r="P17" s="55">
        <f t="shared" si="4"/>
        <v>425</v>
      </c>
      <c r="Q17" s="56"/>
      <c r="R17" s="57">
        <v>0.002314814814814815</v>
      </c>
      <c r="S17" s="55">
        <f t="shared" si="5"/>
        <v>305</v>
      </c>
      <c r="T17" s="58"/>
      <c r="U17" s="59">
        <f t="shared" si="0"/>
        <v>1681</v>
      </c>
      <c r="V17" s="60">
        <v>12</v>
      </c>
    </row>
    <row r="18" spans="1:22" ht="15.75">
      <c r="A18" s="51">
        <v>185</v>
      </c>
      <c r="B18" s="52" t="s">
        <v>233</v>
      </c>
      <c r="C18" s="52" t="s">
        <v>234</v>
      </c>
      <c r="D18" s="53">
        <v>1999</v>
      </c>
      <c r="E18" s="52" t="s">
        <v>16</v>
      </c>
      <c r="F18" s="66">
        <v>12.8</v>
      </c>
      <c r="G18" s="55">
        <f t="shared" si="1"/>
        <v>282</v>
      </c>
      <c r="H18" s="56" t="s">
        <v>46</v>
      </c>
      <c r="I18" s="66">
        <v>13.78</v>
      </c>
      <c r="J18" s="55">
        <f t="shared" si="2"/>
        <v>328</v>
      </c>
      <c r="K18" s="56" t="s">
        <v>46</v>
      </c>
      <c r="L18" s="54">
        <v>3.47</v>
      </c>
      <c r="M18" s="55">
        <f t="shared" si="3"/>
        <v>369</v>
      </c>
      <c r="N18" s="56"/>
      <c r="O18" s="54">
        <v>23.5</v>
      </c>
      <c r="P18" s="55">
        <f t="shared" si="4"/>
        <v>323</v>
      </c>
      <c r="Q18" s="56"/>
      <c r="R18" s="57">
        <v>0.0022443287037037037</v>
      </c>
      <c r="S18" s="55">
        <f t="shared" si="5"/>
        <v>324</v>
      </c>
      <c r="T18" s="58"/>
      <c r="U18" s="59">
        <f t="shared" si="0"/>
        <v>1626</v>
      </c>
      <c r="V18" s="60">
        <v>13</v>
      </c>
    </row>
    <row r="19" spans="1:22" ht="15.75">
      <c r="A19" s="51">
        <v>100</v>
      </c>
      <c r="B19" s="52" t="s">
        <v>235</v>
      </c>
      <c r="C19" s="52" t="s">
        <v>236</v>
      </c>
      <c r="D19" s="53">
        <v>1999</v>
      </c>
      <c r="E19" s="52" t="s">
        <v>32</v>
      </c>
      <c r="F19" s="66">
        <v>12.25</v>
      </c>
      <c r="G19" s="55">
        <f t="shared" si="1"/>
        <v>321</v>
      </c>
      <c r="H19" s="56" t="s">
        <v>48</v>
      </c>
      <c r="I19" s="66">
        <v>12.74</v>
      </c>
      <c r="J19" s="55">
        <f t="shared" si="2"/>
        <v>380</v>
      </c>
      <c r="K19" s="56" t="s">
        <v>48</v>
      </c>
      <c r="L19" s="54">
        <v>3.34</v>
      </c>
      <c r="M19" s="55">
        <f t="shared" si="3"/>
        <v>352</v>
      </c>
      <c r="N19" s="56"/>
      <c r="O19" s="54">
        <v>37</v>
      </c>
      <c r="P19" s="55">
        <f t="shared" si="4"/>
        <v>464</v>
      </c>
      <c r="Q19" s="56"/>
      <c r="R19" s="57" t="s">
        <v>36</v>
      </c>
      <c r="S19" s="55">
        <v>0</v>
      </c>
      <c r="T19" s="58"/>
      <c r="U19" s="59">
        <f t="shared" si="0"/>
        <v>1517</v>
      </c>
      <c r="V19" s="60">
        <v>14</v>
      </c>
    </row>
    <row r="20" spans="1:22" ht="15.75">
      <c r="A20" s="51">
        <v>237</v>
      </c>
      <c r="B20" s="64" t="s">
        <v>237</v>
      </c>
      <c r="C20" s="64" t="s">
        <v>238</v>
      </c>
      <c r="D20" s="62">
        <v>1999</v>
      </c>
      <c r="E20" s="63" t="s">
        <v>27</v>
      </c>
      <c r="F20" s="66">
        <v>11.75</v>
      </c>
      <c r="G20" s="55">
        <f t="shared" si="1"/>
        <v>361</v>
      </c>
      <c r="H20" s="56" t="s">
        <v>46</v>
      </c>
      <c r="I20" s="66" t="s">
        <v>36</v>
      </c>
      <c r="J20" s="55">
        <v>0</v>
      </c>
      <c r="K20" s="56"/>
      <c r="L20" s="54">
        <v>3.45</v>
      </c>
      <c r="M20" s="55">
        <f t="shared" si="3"/>
        <v>367</v>
      </c>
      <c r="N20" s="56"/>
      <c r="O20" s="54">
        <v>22.5</v>
      </c>
      <c r="P20" s="55">
        <f t="shared" si="4"/>
        <v>311</v>
      </c>
      <c r="Q20" s="56"/>
      <c r="R20" s="57">
        <v>0.002116087962962963</v>
      </c>
      <c r="S20" s="55">
        <f>IF(R20&gt;0,ROUNDDOWN(((800/(R20*86400))-2.0232)/0.00647,0)," ")</f>
        <v>363</v>
      </c>
      <c r="T20" s="58"/>
      <c r="U20" s="59">
        <f t="shared" si="0"/>
        <v>1402</v>
      </c>
      <c r="V20" s="60">
        <v>15</v>
      </c>
    </row>
    <row r="21" spans="1:22" ht="15.75">
      <c r="A21" s="51">
        <v>35</v>
      </c>
      <c r="B21" s="52" t="s">
        <v>91</v>
      </c>
      <c r="C21" s="52" t="s">
        <v>239</v>
      </c>
      <c r="D21" s="53">
        <v>1999</v>
      </c>
      <c r="E21" s="52" t="s">
        <v>18</v>
      </c>
      <c r="F21" s="66">
        <v>12.14</v>
      </c>
      <c r="G21" s="55">
        <f t="shared" si="1"/>
        <v>330</v>
      </c>
      <c r="H21" s="56" t="s">
        <v>46</v>
      </c>
      <c r="I21" s="66">
        <v>14.01</v>
      </c>
      <c r="J21" s="55">
        <f>IF(I21&gt;0,ROUNDDOWN(((60/I21)-2.1202)/0.0068,0)," ")</f>
        <v>318</v>
      </c>
      <c r="K21" s="56" t="s">
        <v>46</v>
      </c>
      <c r="L21" s="54">
        <v>3.41</v>
      </c>
      <c r="M21" s="55">
        <f t="shared" si="3"/>
        <v>362</v>
      </c>
      <c r="N21" s="56"/>
      <c r="O21" s="54" t="s">
        <v>36</v>
      </c>
      <c r="P21" s="55">
        <v>0</v>
      </c>
      <c r="Q21" s="56"/>
      <c r="R21" s="57">
        <v>0.0022355324074074074</v>
      </c>
      <c r="S21" s="55">
        <f>IF(R21&gt;0,ROUNDDOWN(((800/(R21*86400))-2.0232)/0.00647,0)," ")</f>
        <v>327</v>
      </c>
      <c r="T21" s="58"/>
      <c r="U21" s="59">
        <f t="shared" si="0"/>
        <v>1337</v>
      </c>
      <c r="V21" s="60">
        <v>16</v>
      </c>
    </row>
    <row r="22" spans="1:22" ht="15.75">
      <c r="A22" s="51">
        <v>36</v>
      </c>
      <c r="B22" s="52" t="s">
        <v>240</v>
      </c>
      <c r="C22" s="52" t="s">
        <v>241</v>
      </c>
      <c r="D22" s="53">
        <v>1999</v>
      </c>
      <c r="E22" s="52" t="s">
        <v>18</v>
      </c>
      <c r="F22" s="66">
        <v>12.2</v>
      </c>
      <c r="G22" s="55">
        <f t="shared" si="1"/>
        <v>325</v>
      </c>
      <c r="H22" s="56" t="s">
        <v>46</v>
      </c>
      <c r="I22" s="66">
        <v>14.06</v>
      </c>
      <c r="J22" s="55">
        <f>IF(I22&gt;0,ROUNDDOWN(((60/I22)-2.1202)/0.0068,0)," ")</f>
        <v>315</v>
      </c>
      <c r="K22" s="56" t="s">
        <v>46</v>
      </c>
      <c r="L22" s="54" t="s">
        <v>34</v>
      </c>
      <c r="M22" s="55">
        <v>0</v>
      </c>
      <c r="N22" s="56"/>
      <c r="O22" s="54" t="s">
        <v>36</v>
      </c>
      <c r="P22" s="55">
        <v>0</v>
      </c>
      <c r="Q22" s="56"/>
      <c r="R22" s="57">
        <v>0.002605324074074074</v>
      </c>
      <c r="S22" s="55">
        <f>IF(R22&gt;0,ROUNDDOWN(((800/(R22*86400))-2.0232)/0.00647,0)," ")</f>
        <v>236</v>
      </c>
      <c r="T22" s="58"/>
      <c r="U22" s="59">
        <f t="shared" si="0"/>
        <v>876</v>
      </c>
      <c r="V22" s="60">
        <v>17</v>
      </c>
    </row>
    <row r="23" spans="1:22" ht="15.75">
      <c r="A23" s="51">
        <v>118</v>
      </c>
      <c r="B23" s="52" t="s">
        <v>242</v>
      </c>
      <c r="C23" s="52" t="s">
        <v>243</v>
      </c>
      <c r="D23" s="53">
        <v>1999</v>
      </c>
      <c r="E23" s="52" t="s">
        <v>47</v>
      </c>
      <c r="F23" s="66">
        <v>11.99</v>
      </c>
      <c r="G23" s="55">
        <f t="shared" si="1"/>
        <v>342</v>
      </c>
      <c r="H23" s="56" t="s">
        <v>53</v>
      </c>
      <c r="I23" s="66" t="s">
        <v>36</v>
      </c>
      <c r="J23" s="55">
        <v>0</v>
      </c>
      <c r="K23" s="56"/>
      <c r="L23" s="54" t="s">
        <v>36</v>
      </c>
      <c r="M23" s="55">
        <v>0</v>
      </c>
      <c r="N23" s="56"/>
      <c r="O23" s="54">
        <v>26.5</v>
      </c>
      <c r="P23" s="55">
        <f>IF(O23&gt;0,ROUNDDOWN((SQRT(O23)-2.0232)/0.00874,0)," ")</f>
        <v>357</v>
      </c>
      <c r="Q23" s="56"/>
      <c r="R23" s="57" t="s">
        <v>36</v>
      </c>
      <c r="S23" s="55">
        <v>0</v>
      </c>
      <c r="T23" s="58"/>
      <c r="U23" s="59">
        <f t="shared" si="0"/>
        <v>699</v>
      </c>
      <c r="V23" s="60">
        <v>18</v>
      </c>
    </row>
    <row r="24" spans="1:22" ht="15.75">
      <c r="A24" s="28"/>
      <c r="B24" s="29"/>
      <c r="C24" s="29"/>
      <c r="D24" s="30"/>
      <c r="E24" s="31"/>
      <c r="F24" s="20"/>
      <c r="G24" s="21" t="str">
        <f>IF(F24&gt;0,ROUNDDOWN(((75/F24)-4.1)/0.00664,0)," ")</f>
        <v> </v>
      </c>
      <c r="H24" s="22"/>
      <c r="I24" s="20"/>
      <c r="J24" s="21" t="str">
        <f>IF(I24&gt;0,ROUNDDOWN(((60/I24)-3.04)/0.0056,0)," ")</f>
        <v> </v>
      </c>
      <c r="K24" s="22"/>
      <c r="L24" s="23"/>
      <c r="M24" s="21" t="str">
        <f>IF(L24&gt;0,ROUNDDOWN((SQRT(L24)-1.15028)/0.00219,0)," ")</f>
        <v> </v>
      </c>
      <c r="N24" s="22"/>
      <c r="O24" s="23"/>
      <c r="P24" s="21" t="str">
        <f>IF(O24&gt;0,ROUNDDOWN((SQRT(O24)-1.936)/0.0124,0)," ")</f>
        <v> </v>
      </c>
      <c r="Q24" s="22"/>
      <c r="R24" s="24"/>
      <c r="S24" s="21" t="str">
        <f>IF(R24&gt;0,ROUNDDOWN(((1000/(R24*86400))-2.158)/0.006,0)," ")</f>
        <v> </v>
      </c>
      <c r="T24" s="25"/>
      <c r="U24" s="26"/>
      <c r="V24" s="27"/>
    </row>
    <row r="25" spans="1:22" ht="15.75">
      <c r="A25" s="28"/>
      <c r="B25" s="29"/>
      <c r="C25" s="29"/>
      <c r="D25" s="30"/>
      <c r="E25" s="45" t="s">
        <v>55</v>
      </c>
      <c r="F25" s="46" t="s">
        <v>211</v>
      </c>
      <c r="G25" s="44"/>
      <c r="H25" s="43"/>
      <c r="I25" s="46" t="s">
        <v>212</v>
      </c>
      <c r="J25" s="44"/>
      <c r="K25" s="43"/>
      <c r="L25" s="23"/>
      <c r="M25" s="21" t="str">
        <f>IF(L25&gt;0,ROUNDDOWN((SQRT(L25)-1.15028)/0.00219,0)," ")</f>
        <v> </v>
      </c>
      <c r="N25" s="22"/>
      <c r="O25" s="23"/>
      <c r="P25" s="21" t="str">
        <f>IF(O25&gt;0,ROUNDDOWN((SQRT(O25)-1.936)/0.0124,0)," ")</f>
        <v> </v>
      </c>
      <c r="Q25" s="22"/>
      <c r="R25" s="24"/>
      <c r="S25" s="21" t="str">
        <f>IF(R25&gt;0,ROUNDDOWN(((1000/(R25*86400))-2.158)/0.006,0)," ")</f>
        <v> </v>
      </c>
      <c r="T25" s="25"/>
      <c r="U25" s="26"/>
      <c r="V25" s="27"/>
    </row>
    <row r="26" spans="1:22" ht="15.75">
      <c r="A26" s="28"/>
      <c r="B26" s="29"/>
      <c r="C26" s="29"/>
      <c r="D26" s="30"/>
      <c r="E26" s="45"/>
      <c r="F26" s="46" t="s">
        <v>213</v>
      </c>
      <c r="G26" s="44"/>
      <c r="H26" s="43"/>
      <c r="I26" s="46" t="s">
        <v>214</v>
      </c>
      <c r="J26" s="44"/>
      <c r="K26" s="43"/>
      <c r="L26" s="23"/>
      <c r="M26" s="21"/>
      <c r="N26" s="22"/>
      <c r="O26" s="23"/>
      <c r="P26" s="21"/>
      <c r="Q26" s="22"/>
      <c r="R26" s="24"/>
      <c r="S26" s="21"/>
      <c r="T26" s="25"/>
      <c r="U26" s="26"/>
      <c r="V26" s="27"/>
    </row>
    <row r="27" spans="1:22" ht="15.75">
      <c r="A27" s="28"/>
      <c r="B27" s="29"/>
      <c r="C27" s="29"/>
      <c r="D27" s="30"/>
      <c r="E27" s="45"/>
      <c r="F27" s="46" t="s">
        <v>215</v>
      </c>
      <c r="G27" s="44"/>
      <c r="H27" s="43"/>
      <c r="I27" s="46" t="s">
        <v>216</v>
      </c>
      <c r="J27" s="44"/>
      <c r="K27" s="43"/>
      <c r="L27" s="23"/>
      <c r="M27" s="21" t="str">
        <f>IF(L27&gt;0,ROUNDDOWN((SQRT(L27)-1.15028)/0.00219,0)," ")</f>
        <v> </v>
      </c>
      <c r="N27" s="22"/>
      <c r="O27" s="23"/>
      <c r="P27" s="21" t="str">
        <f>IF(O27&gt;0,ROUNDDOWN((SQRT(O27)-1.936)/0.0124,0)," ")</f>
        <v> </v>
      </c>
      <c r="Q27" s="22"/>
      <c r="R27" s="24"/>
      <c r="S27" s="21" t="str">
        <f>IF(R27&gt;0,ROUNDDOWN(((1000/(R27*86400))-2.158)/0.006,0)," ")</f>
        <v> </v>
      </c>
      <c r="T27" s="25"/>
      <c r="U27" s="26"/>
      <c r="V27" s="27"/>
    </row>
    <row r="28" spans="6:22" ht="12.75">
      <c r="F28" s="32"/>
      <c r="G28" s="1"/>
      <c r="H28" s="1"/>
      <c r="I28" s="32"/>
      <c r="J28" s="1"/>
      <c r="K28" s="1"/>
      <c r="L28" s="32"/>
      <c r="M28" s="1"/>
      <c r="N28" s="1"/>
      <c r="O28" s="32"/>
      <c r="P28" s="1"/>
      <c r="Q28" s="1"/>
      <c r="R28" s="34"/>
      <c r="S28" s="33"/>
      <c r="T28" s="33"/>
      <c r="U28" s="33"/>
      <c r="V28" s="33"/>
    </row>
    <row r="29" spans="19:22" ht="12.75">
      <c r="S29" s="35"/>
      <c r="T29" s="35"/>
      <c r="U29" s="35"/>
      <c r="V29" s="35"/>
    </row>
    <row r="30" spans="19:22" ht="12.75">
      <c r="S30" s="35"/>
      <c r="T30" s="35"/>
      <c r="U30" s="35"/>
      <c r="V30" s="35"/>
    </row>
    <row r="31" spans="19:22" ht="12.75">
      <c r="S31" s="35"/>
      <c r="T31" s="35"/>
      <c r="U31" s="35"/>
      <c r="V31" s="35"/>
    </row>
    <row r="32" spans="19:22" ht="12.75">
      <c r="S32" s="35"/>
      <c r="T32" s="35"/>
      <c r="U32" s="35"/>
      <c r="V32" s="35"/>
    </row>
    <row r="33" spans="19:22" ht="12.75">
      <c r="S33" s="35"/>
      <c r="T33" s="35"/>
      <c r="U33" s="35"/>
      <c r="V33" s="35"/>
    </row>
    <row r="34" spans="19:22" ht="12.75">
      <c r="S34" s="35"/>
      <c r="T34" s="35"/>
      <c r="U34" s="35"/>
      <c r="V34" s="35"/>
    </row>
    <row r="35" spans="19:22" ht="12.75">
      <c r="S35" s="35"/>
      <c r="T35" s="35"/>
      <c r="U35" s="35"/>
      <c r="V35" s="35"/>
    </row>
    <row r="36" spans="19:22" ht="12.75">
      <c r="S36" s="35"/>
      <c r="T36" s="35"/>
      <c r="U36" s="35"/>
      <c r="V36" s="35"/>
    </row>
    <row r="37" spans="19:22" ht="12.75">
      <c r="S37" s="35"/>
      <c r="T37" s="35"/>
      <c r="U37" s="35"/>
      <c r="V37" s="35"/>
    </row>
    <row r="38" spans="19:22" ht="12.75">
      <c r="S38" s="35"/>
      <c r="T38" s="35"/>
      <c r="U38" s="35"/>
      <c r="V38" s="35"/>
    </row>
    <row r="39" spans="19:22" ht="12.75">
      <c r="S39" s="35"/>
      <c r="T39" s="35"/>
      <c r="U39" s="35"/>
      <c r="V39" s="35"/>
    </row>
    <row r="40" spans="19:22" ht="12.75">
      <c r="S40" s="35"/>
      <c r="T40" s="35"/>
      <c r="U40" s="35"/>
      <c r="V40" s="35"/>
    </row>
    <row r="41" spans="19:22" ht="12.75">
      <c r="S41" s="35"/>
      <c r="T41" s="35"/>
      <c r="U41" s="35"/>
      <c r="V41" s="35"/>
    </row>
    <row r="42" spans="19:22" ht="12.75">
      <c r="S42" s="35"/>
      <c r="T42" s="35"/>
      <c r="U42" s="35"/>
      <c r="V42" s="35"/>
    </row>
    <row r="43" spans="19:22" ht="12.75">
      <c r="S43" s="35"/>
      <c r="T43" s="35"/>
      <c r="U43" s="35"/>
      <c r="V43" s="35"/>
    </row>
    <row r="44" spans="19:22" ht="12.75">
      <c r="S44" s="35"/>
      <c r="T44" s="35"/>
      <c r="U44" s="35"/>
      <c r="V44" s="35"/>
    </row>
    <row r="45" spans="19:22" ht="12.75">
      <c r="S45" s="35"/>
      <c r="T45" s="35"/>
      <c r="U45" s="35"/>
      <c r="V45" s="35"/>
    </row>
    <row r="46" spans="19:22" ht="12.75">
      <c r="S46" s="35"/>
      <c r="T46" s="35"/>
      <c r="U46" s="35"/>
      <c r="V46" s="35"/>
    </row>
    <row r="47" spans="19:22" ht="12.75">
      <c r="S47" s="35"/>
      <c r="T47" s="35"/>
      <c r="U47" s="35"/>
      <c r="V47" s="35"/>
    </row>
    <row r="48" spans="19:22" ht="12.75">
      <c r="S48" s="35"/>
      <c r="T48" s="35"/>
      <c r="U48" s="35"/>
      <c r="V48" s="35"/>
    </row>
    <row r="49" spans="19:22" ht="12.75">
      <c r="S49" s="35"/>
      <c r="T49" s="35"/>
      <c r="U49" s="35"/>
      <c r="V49" s="35"/>
    </row>
    <row r="50" spans="19:22" ht="12.75">
      <c r="S50" s="35"/>
      <c r="T50" s="35"/>
      <c r="U50" s="35"/>
      <c r="V50" s="35"/>
    </row>
    <row r="51" spans="19:22" ht="12.75">
      <c r="S51" s="35"/>
      <c r="T51" s="35"/>
      <c r="U51" s="35"/>
      <c r="V51" s="35"/>
    </row>
    <row r="52" spans="19:22" ht="12.75">
      <c r="S52" s="35"/>
      <c r="T52" s="35"/>
      <c r="U52" s="35"/>
      <c r="V52" s="35"/>
    </row>
    <row r="53" spans="19:22" ht="12.75">
      <c r="S53" s="35"/>
      <c r="T53" s="35"/>
      <c r="U53" s="35"/>
      <c r="V53" s="35"/>
    </row>
    <row r="54" spans="19:22" ht="12.75">
      <c r="S54" s="35"/>
      <c r="T54" s="35"/>
      <c r="U54" s="35"/>
      <c r="V54" s="35"/>
    </row>
    <row r="55" spans="19:22" ht="12.75">
      <c r="S55" s="35"/>
      <c r="T55" s="35"/>
      <c r="U55" s="35"/>
      <c r="V55" s="35"/>
    </row>
    <row r="56" spans="19:22" ht="12.75">
      <c r="S56" s="35"/>
      <c r="T56" s="35"/>
      <c r="U56" s="35"/>
      <c r="V56" s="35"/>
    </row>
  </sheetData>
  <sheetProtection/>
  <mergeCells count="13">
    <mergeCell ref="A1:I1"/>
    <mergeCell ref="O1:Q1"/>
    <mergeCell ref="A3:A4"/>
    <mergeCell ref="B3:B4"/>
    <mergeCell ref="C3:C4"/>
    <mergeCell ref="D3:D4"/>
    <mergeCell ref="E3:E4"/>
    <mergeCell ref="F3:H3"/>
    <mergeCell ref="I3:K3"/>
    <mergeCell ref="L3:N3"/>
    <mergeCell ref="O3:Q3"/>
    <mergeCell ref="R3:T3"/>
    <mergeCell ref="U3:V3"/>
  </mergeCells>
  <printOptions horizontalCentered="1"/>
  <pageMargins left="0.7875" right="0.7875" top="0.9840277777777777" bottom="0.7875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7.33203125" style="3" customWidth="1"/>
    <col min="13" max="13" width="5.83203125" style="0" customWidth="1"/>
    <col min="14" max="14" width="2.83203125" style="0" customWidth="1"/>
    <col min="15" max="15" width="7.33203125" style="3" customWidth="1"/>
    <col min="16" max="16" width="5.83203125" style="0" customWidth="1"/>
    <col min="17" max="17" width="2.83203125" style="0" customWidth="1"/>
    <col min="18" max="18" width="10.83203125" style="4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6" customFormat="1" ht="18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L1" s="50"/>
      <c r="M1" s="5"/>
      <c r="O1" s="80"/>
      <c r="P1" s="80"/>
      <c r="Q1" s="80"/>
      <c r="R1" s="7"/>
      <c r="S1" s="8" t="s">
        <v>286</v>
      </c>
      <c r="V1" s="8" t="s">
        <v>287</v>
      </c>
    </row>
    <row r="2" ht="12.75" customHeight="1"/>
    <row r="3" spans="1:22" ht="15.75">
      <c r="A3" s="81" t="s">
        <v>2</v>
      </c>
      <c r="B3" s="82" t="s">
        <v>3</v>
      </c>
      <c r="C3" s="82" t="s">
        <v>4</v>
      </c>
      <c r="D3" s="81" t="s">
        <v>5</v>
      </c>
      <c r="E3" s="82" t="s">
        <v>6</v>
      </c>
      <c r="F3" s="84" t="s">
        <v>43</v>
      </c>
      <c r="G3" s="84"/>
      <c r="H3" s="84"/>
      <c r="I3" s="84" t="s">
        <v>44</v>
      </c>
      <c r="J3" s="84"/>
      <c r="K3" s="84"/>
      <c r="L3" s="77" t="s">
        <v>8</v>
      </c>
      <c r="M3" s="77"/>
      <c r="N3" s="77"/>
      <c r="O3" s="77" t="s">
        <v>45</v>
      </c>
      <c r="P3" s="77"/>
      <c r="Q3" s="77"/>
      <c r="R3" s="77" t="s">
        <v>288</v>
      </c>
      <c r="S3" s="77"/>
      <c r="T3" s="77"/>
      <c r="U3" s="78" t="s">
        <v>11</v>
      </c>
      <c r="V3" s="78"/>
    </row>
    <row r="4" spans="1:22" s="1" customFormat="1" ht="15.75">
      <c r="A4" s="81"/>
      <c r="B4" s="82"/>
      <c r="C4" s="82"/>
      <c r="D4" s="81"/>
      <c r="E4" s="82"/>
      <c r="F4" s="9" t="s">
        <v>12</v>
      </c>
      <c r="G4" s="10" t="s">
        <v>13</v>
      </c>
      <c r="H4" s="11"/>
      <c r="I4" s="9" t="s">
        <v>12</v>
      </c>
      <c r="J4" s="10" t="s">
        <v>13</v>
      </c>
      <c r="K4" s="11"/>
      <c r="L4" s="12" t="s">
        <v>14</v>
      </c>
      <c r="M4" s="10" t="s">
        <v>13</v>
      </c>
      <c r="N4" s="11"/>
      <c r="O4" s="12" t="s">
        <v>14</v>
      </c>
      <c r="P4" s="10" t="s">
        <v>13</v>
      </c>
      <c r="Q4" s="11"/>
      <c r="R4" s="13" t="s">
        <v>12</v>
      </c>
      <c r="S4" s="10" t="s">
        <v>13</v>
      </c>
      <c r="T4" s="11"/>
      <c r="U4" s="14" t="s">
        <v>13</v>
      </c>
      <c r="V4" s="15" t="s">
        <v>15</v>
      </c>
    </row>
    <row r="5" spans="1:22" ht="15.75">
      <c r="A5" s="70"/>
      <c r="B5" s="71"/>
      <c r="C5" s="71"/>
      <c r="D5" s="72"/>
      <c r="E5" s="73"/>
      <c r="F5" s="66"/>
      <c r="G5" s="55" t="str">
        <f aca="true" t="shared" si="0" ref="G5:G18">IF(F5&gt;0,ROUNDDOWN(((75/F5)-3.998)/0.0066,0)," ")</f>
        <v> </v>
      </c>
      <c r="H5" s="56"/>
      <c r="I5" s="66"/>
      <c r="J5" s="55" t="str">
        <f>IF(I5&gt;0,ROUNDDOWN(((60/I5)-2.1202)/0.0068,0)," ")</f>
        <v> </v>
      </c>
      <c r="K5" s="56"/>
      <c r="L5" s="54"/>
      <c r="M5" s="55" t="str">
        <f aca="true" t="shared" si="1" ref="M5:M18">IF(L5&gt;0,ROUNDDOWN((SQRT(L5)-1.0935)/0.00208,0)," ")</f>
        <v> </v>
      </c>
      <c r="N5" s="56"/>
      <c r="O5" s="54"/>
      <c r="P5" s="55" t="str">
        <f>IF(O5&gt;0,ROUNDDOWN((SQRT(O5)-2.0232)/0.00874,0)," ")</f>
        <v> </v>
      </c>
      <c r="Q5" s="56"/>
      <c r="R5" s="57"/>
      <c r="S5" s="55" t="str">
        <f>IF(R5&gt;0,ROUNDDOWN(((800/(R5*86400))-2.0232)/0.00647,0)," ")</f>
        <v> </v>
      </c>
      <c r="T5" s="58"/>
      <c r="U5" s="59">
        <f>SUM(G5,J5,M5,P5,S5)</f>
        <v>0</v>
      </c>
      <c r="V5" s="60"/>
    </row>
    <row r="6" spans="1:22" ht="15.75">
      <c r="A6" s="51">
        <v>223</v>
      </c>
      <c r="B6" s="69" t="s">
        <v>180</v>
      </c>
      <c r="C6" s="69" t="s">
        <v>246</v>
      </c>
      <c r="D6" s="62">
        <v>1998</v>
      </c>
      <c r="E6" s="63" t="s">
        <v>29</v>
      </c>
      <c r="F6" s="66">
        <v>10.58</v>
      </c>
      <c r="G6" s="55">
        <f t="shared" si="0"/>
        <v>468</v>
      </c>
      <c r="H6" s="56" t="s">
        <v>46</v>
      </c>
      <c r="I6" s="66">
        <v>10.41</v>
      </c>
      <c r="J6" s="55">
        <f aca="true" t="shared" si="2" ref="J6:J16">IF(I6&gt;0,ROUNDDOWN(((60/I6)-2.1202)/0.0068,0)," ")</f>
        <v>535</v>
      </c>
      <c r="K6" s="56" t="s">
        <v>46</v>
      </c>
      <c r="L6" s="54">
        <v>4.88</v>
      </c>
      <c r="M6" s="55">
        <f t="shared" si="1"/>
        <v>536</v>
      </c>
      <c r="N6" s="56"/>
      <c r="O6" s="54">
        <v>40.5</v>
      </c>
      <c r="P6" s="55">
        <f aca="true" t="shared" si="3" ref="P6:P14">IF(O6&gt;0,ROUNDDOWN((SQRT(O6)-2.0232)/0.00874,0)," ")</f>
        <v>496</v>
      </c>
      <c r="Q6" s="56"/>
      <c r="R6" s="57">
        <v>0.0017486111111111112</v>
      </c>
      <c r="S6" s="55">
        <f aca="true" t="shared" si="4" ref="S6:S15">IF(R6&gt;0,ROUNDDOWN(((800/(R6*86400))-2.0232)/0.00647,0)," ")</f>
        <v>505</v>
      </c>
      <c r="T6" s="58"/>
      <c r="U6" s="59">
        <f aca="true" t="shared" si="5" ref="U6:U17">SUM(G6,J6,M6,P6,S6)</f>
        <v>2540</v>
      </c>
      <c r="V6" s="60">
        <v>1</v>
      </c>
    </row>
    <row r="7" spans="1:22" ht="15.75">
      <c r="A7" s="51">
        <v>182</v>
      </c>
      <c r="B7" s="64" t="s">
        <v>247</v>
      </c>
      <c r="C7" s="64" t="s">
        <v>248</v>
      </c>
      <c r="D7" s="62">
        <v>1998</v>
      </c>
      <c r="E7" s="63" t="s">
        <v>16</v>
      </c>
      <c r="F7" s="66">
        <v>10.34</v>
      </c>
      <c r="G7" s="55">
        <f t="shared" si="0"/>
        <v>493</v>
      </c>
      <c r="H7" s="56" t="s">
        <v>48</v>
      </c>
      <c r="I7" s="66">
        <v>10.63</v>
      </c>
      <c r="J7" s="55">
        <f t="shared" si="2"/>
        <v>518</v>
      </c>
      <c r="K7" s="56" t="s">
        <v>48</v>
      </c>
      <c r="L7" s="54">
        <v>4.61</v>
      </c>
      <c r="M7" s="55">
        <f t="shared" si="1"/>
        <v>506</v>
      </c>
      <c r="N7" s="56"/>
      <c r="O7" s="54">
        <v>41.5</v>
      </c>
      <c r="P7" s="55">
        <f t="shared" si="3"/>
        <v>505</v>
      </c>
      <c r="Q7" s="56"/>
      <c r="R7" s="57">
        <v>0.0018741898148148149</v>
      </c>
      <c r="S7" s="55">
        <f t="shared" si="4"/>
        <v>450</v>
      </c>
      <c r="T7" s="58"/>
      <c r="U7" s="59">
        <f t="shared" si="5"/>
        <v>2472</v>
      </c>
      <c r="V7" s="60">
        <v>2</v>
      </c>
    </row>
    <row r="8" spans="1:22" ht="15.75">
      <c r="A8" s="70">
        <v>39</v>
      </c>
      <c r="B8" s="71" t="s">
        <v>49</v>
      </c>
      <c r="C8" s="71" t="s">
        <v>166</v>
      </c>
      <c r="D8" s="72">
        <v>1998</v>
      </c>
      <c r="E8" s="73" t="s">
        <v>18</v>
      </c>
      <c r="F8" s="66">
        <v>11.17</v>
      </c>
      <c r="G8" s="55">
        <f t="shared" si="0"/>
        <v>411</v>
      </c>
      <c r="H8" s="56" t="s">
        <v>48</v>
      </c>
      <c r="I8" s="66">
        <v>10.77</v>
      </c>
      <c r="J8" s="55">
        <f t="shared" si="2"/>
        <v>507</v>
      </c>
      <c r="K8" s="56" t="s">
        <v>48</v>
      </c>
      <c r="L8" s="54">
        <v>4.01</v>
      </c>
      <c r="M8" s="55">
        <f t="shared" si="1"/>
        <v>437</v>
      </c>
      <c r="N8" s="56"/>
      <c r="O8" s="54">
        <v>30.5</v>
      </c>
      <c r="P8" s="55">
        <f t="shared" si="3"/>
        <v>400</v>
      </c>
      <c r="Q8" s="56"/>
      <c r="R8" s="57">
        <v>0.002080787037037037</v>
      </c>
      <c r="S8" s="55">
        <f t="shared" si="4"/>
        <v>375</v>
      </c>
      <c r="T8" s="58"/>
      <c r="U8" s="59">
        <f t="shared" si="5"/>
        <v>2130</v>
      </c>
      <c r="V8" s="60">
        <v>3</v>
      </c>
    </row>
    <row r="9" spans="1:22" ht="15.75">
      <c r="A9" s="51">
        <v>38</v>
      </c>
      <c r="B9" s="64" t="s">
        <v>33</v>
      </c>
      <c r="C9" s="64" t="s">
        <v>249</v>
      </c>
      <c r="D9" s="62">
        <v>1998</v>
      </c>
      <c r="E9" s="63" t="s">
        <v>18</v>
      </c>
      <c r="F9" s="66">
        <v>11.56</v>
      </c>
      <c r="G9" s="55">
        <f t="shared" si="0"/>
        <v>377</v>
      </c>
      <c r="H9" s="56" t="s">
        <v>48</v>
      </c>
      <c r="I9" s="66">
        <v>12.96</v>
      </c>
      <c r="J9" s="55">
        <f t="shared" si="2"/>
        <v>369</v>
      </c>
      <c r="K9" s="56" t="s">
        <v>48</v>
      </c>
      <c r="L9" s="54">
        <v>3.95</v>
      </c>
      <c r="M9" s="55">
        <f t="shared" si="1"/>
        <v>429</v>
      </c>
      <c r="N9" s="56"/>
      <c r="O9" s="54">
        <v>28</v>
      </c>
      <c r="P9" s="55">
        <f t="shared" si="3"/>
        <v>373</v>
      </c>
      <c r="Q9" s="56"/>
      <c r="R9" s="57">
        <v>0.002038078703703704</v>
      </c>
      <c r="S9" s="55">
        <f t="shared" si="4"/>
        <v>389</v>
      </c>
      <c r="T9" s="58"/>
      <c r="U9" s="59">
        <f t="shared" si="5"/>
        <v>1937</v>
      </c>
      <c r="V9" s="60">
        <v>4</v>
      </c>
    </row>
    <row r="10" spans="1:22" ht="15.75">
      <c r="A10" s="51">
        <v>227</v>
      </c>
      <c r="B10" s="64" t="s">
        <v>250</v>
      </c>
      <c r="C10" s="64" t="s">
        <v>251</v>
      </c>
      <c r="D10" s="62">
        <v>1998</v>
      </c>
      <c r="E10" s="63" t="s">
        <v>29</v>
      </c>
      <c r="F10" s="66">
        <v>11.62</v>
      </c>
      <c r="G10" s="55">
        <f t="shared" si="0"/>
        <v>372</v>
      </c>
      <c r="H10" s="56" t="s">
        <v>46</v>
      </c>
      <c r="I10" s="66">
        <v>13.01</v>
      </c>
      <c r="J10" s="55">
        <f t="shared" si="2"/>
        <v>366</v>
      </c>
      <c r="K10" s="56" t="s">
        <v>46</v>
      </c>
      <c r="L10" s="54">
        <v>3.72</v>
      </c>
      <c r="M10" s="55">
        <f t="shared" si="1"/>
        <v>401</v>
      </c>
      <c r="N10" s="56"/>
      <c r="O10" s="54">
        <v>29.5</v>
      </c>
      <c r="P10" s="55">
        <f t="shared" si="3"/>
        <v>389</v>
      </c>
      <c r="Q10" s="56"/>
      <c r="R10" s="57">
        <v>0.0019877314814814814</v>
      </c>
      <c r="S10" s="55">
        <f t="shared" si="4"/>
        <v>407</v>
      </c>
      <c r="T10" s="58"/>
      <c r="U10" s="59">
        <f t="shared" si="5"/>
        <v>1935</v>
      </c>
      <c r="V10" s="60">
        <v>5</v>
      </c>
    </row>
    <row r="11" spans="1:22" s="1" customFormat="1" ht="15.75">
      <c r="A11" s="51">
        <v>132</v>
      </c>
      <c r="B11" s="64" t="s">
        <v>252</v>
      </c>
      <c r="C11" s="64" t="s">
        <v>253</v>
      </c>
      <c r="D11" s="62">
        <v>1998</v>
      </c>
      <c r="E11" s="63" t="s">
        <v>39</v>
      </c>
      <c r="F11" s="66">
        <v>12.02</v>
      </c>
      <c r="G11" s="55">
        <f t="shared" si="0"/>
        <v>339</v>
      </c>
      <c r="H11" s="56" t="s">
        <v>46</v>
      </c>
      <c r="I11" s="66">
        <v>13.85</v>
      </c>
      <c r="J11" s="55">
        <f t="shared" si="2"/>
        <v>325</v>
      </c>
      <c r="K11" s="56" t="s">
        <v>46</v>
      </c>
      <c r="L11" s="54">
        <v>3.74</v>
      </c>
      <c r="M11" s="55">
        <f t="shared" si="1"/>
        <v>404</v>
      </c>
      <c r="N11" s="56"/>
      <c r="O11" s="54">
        <v>28</v>
      </c>
      <c r="P11" s="55">
        <f t="shared" si="3"/>
        <v>373</v>
      </c>
      <c r="Q11" s="56"/>
      <c r="R11" s="57">
        <v>0.0020756944444444442</v>
      </c>
      <c r="S11" s="55">
        <f t="shared" si="4"/>
        <v>376</v>
      </c>
      <c r="T11" s="58"/>
      <c r="U11" s="59">
        <f t="shared" si="5"/>
        <v>1817</v>
      </c>
      <c r="V11" s="60">
        <v>6</v>
      </c>
    </row>
    <row r="12" spans="1:22" ht="15.75">
      <c r="A12" s="51">
        <v>154</v>
      </c>
      <c r="B12" s="64" t="s">
        <v>254</v>
      </c>
      <c r="C12" s="64" t="s">
        <v>176</v>
      </c>
      <c r="D12" s="62">
        <v>1998</v>
      </c>
      <c r="E12" s="63" t="s">
        <v>31</v>
      </c>
      <c r="F12" s="66">
        <v>12.38</v>
      </c>
      <c r="G12" s="55">
        <f t="shared" si="0"/>
        <v>312</v>
      </c>
      <c r="H12" s="56" t="s">
        <v>46</v>
      </c>
      <c r="I12" s="66">
        <v>13</v>
      </c>
      <c r="J12" s="55">
        <f t="shared" si="2"/>
        <v>366</v>
      </c>
      <c r="K12" s="56" t="s">
        <v>46</v>
      </c>
      <c r="L12" s="54">
        <v>3.78</v>
      </c>
      <c r="M12" s="55">
        <f t="shared" si="1"/>
        <v>409</v>
      </c>
      <c r="N12" s="56"/>
      <c r="O12" s="54">
        <v>23.5</v>
      </c>
      <c r="P12" s="55">
        <f t="shared" si="3"/>
        <v>323</v>
      </c>
      <c r="Q12" s="56"/>
      <c r="R12" s="57">
        <v>0.0021548611111111113</v>
      </c>
      <c r="S12" s="55">
        <f t="shared" si="4"/>
        <v>351</v>
      </c>
      <c r="T12" s="58"/>
      <c r="U12" s="59">
        <f t="shared" si="5"/>
        <v>1761</v>
      </c>
      <c r="V12" s="60">
        <v>7</v>
      </c>
    </row>
    <row r="13" spans="1:22" ht="15.75">
      <c r="A13" s="51">
        <v>37</v>
      </c>
      <c r="B13" s="64" t="s">
        <v>142</v>
      </c>
      <c r="C13" s="64" t="s">
        <v>132</v>
      </c>
      <c r="D13" s="62">
        <v>1998</v>
      </c>
      <c r="E13" s="63" t="s">
        <v>18</v>
      </c>
      <c r="F13" s="66">
        <v>12.36</v>
      </c>
      <c r="G13" s="55">
        <f t="shared" si="0"/>
        <v>313</v>
      </c>
      <c r="H13" s="56" t="s">
        <v>48</v>
      </c>
      <c r="I13" s="66">
        <v>15.2</v>
      </c>
      <c r="J13" s="55">
        <f t="shared" si="2"/>
        <v>268</v>
      </c>
      <c r="K13" s="56" t="s">
        <v>48</v>
      </c>
      <c r="L13" s="54">
        <v>3.37</v>
      </c>
      <c r="M13" s="55">
        <f t="shared" si="1"/>
        <v>356</v>
      </c>
      <c r="N13" s="56"/>
      <c r="O13" s="54">
        <v>27</v>
      </c>
      <c r="P13" s="55">
        <f t="shared" si="3"/>
        <v>363</v>
      </c>
      <c r="Q13" s="56"/>
      <c r="R13" s="57">
        <v>0.0021038194444444446</v>
      </c>
      <c r="S13" s="55">
        <f t="shared" si="4"/>
        <v>367</v>
      </c>
      <c r="T13" s="58"/>
      <c r="U13" s="59">
        <f t="shared" si="5"/>
        <v>1667</v>
      </c>
      <c r="V13" s="60">
        <v>8</v>
      </c>
    </row>
    <row r="14" spans="1:22" ht="15.75">
      <c r="A14" s="51">
        <v>235</v>
      </c>
      <c r="B14" s="52" t="s">
        <v>208</v>
      </c>
      <c r="C14" s="52" t="s">
        <v>255</v>
      </c>
      <c r="D14" s="53">
        <v>1998</v>
      </c>
      <c r="E14" s="63" t="s">
        <v>27</v>
      </c>
      <c r="F14" s="66">
        <v>12.27</v>
      </c>
      <c r="G14" s="55">
        <f t="shared" si="0"/>
        <v>320</v>
      </c>
      <c r="H14" s="56" t="s">
        <v>46</v>
      </c>
      <c r="I14" s="66">
        <v>14.32</v>
      </c>
      <c r="J14" s="55">
        <f t="shared" si="2"/>
        <v>304</v>
      </c>
      <c r="K14" s="56" t="s">
        <v>46</v>
      </c>
      <c r="L14" s="54">
        <v>3.49</v>
      </c>
      <c r="M14" s="55">
        <f t="shared" si="1"/>
        <v>372</v>
      </c>
      <c r="N14" s="56"/>
      <c r="O14" s="54">
        <v>24</v>
      </c>
      <c r="P14" s="55">
        <f t="shared" si="3"/>
        <v>329</v>
      </c>
      <c r="Q14" s="56"/>
      <c r="R14" s="57">
        <v>0.002250347222222222</v>
      </c>
      <c r="S14" s="55">
        <f t="shared" si="4"/>
        <v>323</v>
      </c>
      <c r="T14" s="58"/>
      <c r="U14" s="59">
        <f t="shared" si="5"/>
        <v>1648</v>
      </c>
      <c r="V14" s="60">
        <v>9</v>
      </c>
    </row>
    <row r="15" spans="1:22" s="1" customFormat="1" ht="15.75">
      <c r="A15" s="51">
        <v>242</v>
      </c>
      <c r="B15" s="52" t="s">
        <v>256</v>
      </c>
      <c r="C15" s="52" t="s">
        <v>257</v>
      </c>
      <c r="D15" s="53">
        <v>1998</v>
      </c>
      <c r="E15" s="63" t="s">
        <v>27</v>
      </c>
      <c r="F15" s="66">
        <v>11.41</v>
      </c>
      <c r="G15" s="55">
        <f t="shared" si="0"/>
        <v>390</v>
      </c>
      <c r="H15" s="56" t="s">
        <v>46</v>
      </c>
      <c r="I15" s="66">
        <v>12.54</v>
      </c>
      <c r="J15" s="55">
        <f t="shared" si="2"/>
        <v>391</v>
      </c>
      <c r="K15" s="56" t="s">
        <v>46</v>
      </c>
      <c r="L15" s="54">
        <v>3.99</v>
      </c>
      <c r="M15" s="55">
        <f t="shared" si="1"/>
        <v>434</v>
      </c>
      <c r="N15" s="56"/>
      <c r="O15" s="54" t="s">
        <v>36</v>
      </c>
      <c r="P15" s="55">
        <v>0</v>
      </c>
      <c r="Q15" s="56"/>
      <c r="R15" s="57">
        <v>0.0020127314814814817</v>
      </c>
      <c r="S15" s="55">
        <f t="shared" si="4"/>
        <v>398</v>
      </c>
      <c r="T15" s="58"/>
      <c r="U15" s="59">
        <f t="shared" si="5"/>
        <v>1613</v>
      </c>
      <c r="V15" s="60">
        <v>10</v>
      </c>
    </row>
    <row r="16" spans="1:22" s="1" customFormat="1" ht="15.75">
      <c r="A16" s="51">
        <v>245</v>
      </c>
      <c r="B16" s="64" t="s">
        <v>258</v>
      </c>
      <c r="C16" s="64" t="s">
        <v>120</v>
      </c>
      <c r="D16" s="62">
        <v>1998</v>
      </c>
      <c r="E16" s="63" t="s">
        <v>27</v>
      </c>
      <c r="F16" s="66">
        <v>12.16</v>
      </c>
      <c r="G16" s="55">
        <f t="shared" si="0"/>
        <v>328</v>
      </c>
      <c r="H16" s="56" t="s">
        <v>48</v>
      </c>
      <c r="I16" s="66">
        <v>13.6</v>
      </c>
      <c r="J16" s="55">
        <f t="shared" si="2"/>
        <v>336</v>
      </c>
      <c r="K16" s="56" t="s">
        <v>48</v>
      </c>
      <c r="L16" s="54">
        <v>3.76</v>
      </c>
      <c r="M16" s="55">
        <f t="shared" si="1"/>
        <v>406</v>
      </c>
      <c r="N16" s="56"/>
      <c r="O16" s="54">
        <v>39</v>
      </c>
      <c r="P16" s="55">
        <f>IF(O16&gt;0,ROUNDDOWN((SQRT(O16)-2.0232)/0.00874,0)," ")</f>
        <v>483</v>
      </c>
      <c r="Q16" s="56"/>
      <c r="R16" s="57" t="s">
        <v>36</v>
      </c>
      <c r="S16" s="55">
        <v>0</v>
      </c>
      <c r="T16" s="58"/>
      <c r="U16" s="59">
        <f t="shared" si="5"/>
        <v>1553</v>
      </c>
      <c r="V16" s="60">
        <v>11</v>
      </c>
    </row>
    <row r="17" spans="1:22" s="1" customFormat="1" ht="15.75">
      <c r="A17" s="51">
        <v>102</v>
      </c>
      <c r="B17" s="52" t="s">
        <v>259</v>
      </c>
      <c r="C17" s="52" t="s">
        <v>104</v>
      </c>
      <c r="D17" s="53">
        <v>1998</v>
      </c>
      <c r="E17" s="52" t="s">
        <v>32</v>
      </c>
      <c r="F17" s="66">
        <v>12.7</v>
      </c>
      <c r="G17" s="55">
        <f t="shared" si="0"/>
        <v>289</v>
      </c>
      <c r="H17" s="56" t="s">
        <v>48</v>
      </c>
      <c r="I17" s="66" t="s">
        <v>36</v>
      </c>
      <c r="J17" s="55">
        <v>0</v>
      </c>
      <c r="K17" s="56"/>
      <c r="L17" s="54">
        <v>3.23</v>
      </c>
      <c r="M17" s="55">
        <f t="shared" si="1"/>
        <v>338</v>
      </c>
      <c r="N17" s="56"/>
      <c r="O17" s="54">
        <v>17</v>
      </c>
      <c r="P17" s="55">
        <f>IF(O17&gt;0,ROUNDDOWN((SQRT(O17)-2.0232)/0.00874,0)," ")</f>
        <v>240</v>
      </c>
      <c r="Q17" s="56"/>
      <c r="R17" s="57" t="s">
        <v>25</v>
      </c>
      <c r="S17" s="55">
        <v>0</v>
      </c>
      <c r="T17" s="58"/>
      <c r="U17" s="59">
        <f t="shared" si="5"/>
        <v>867</v>
      </c>
      <c r="V17" s="60">
        <v>12</v>
      </c>
    </row>
    <row r="18" spans="1:22" ht="15.75">
      <c r="A18" s="70"/>
      <c r="B18" s="71"/>
      <c r="C18" s="71"/>
      <c r="D18" s="72"/>
      <c r="E18" s="73"/>
      <c r="F18" s="66"/>
      <c r="G18" s="55" t="str">
        <f t="shared" si="0"/>
        <v> </v>
      </c>
      <c r="H18" s="56"/>
      <c r="I18" s="66"/>
      <c r="J18" s="55" t="str">
        <f>IF(I18&gt;0,ROUNDDOWN(((60/I18)-2.1202)/0.0068,0)," ")</f>
        <v> </v>
      </c>
      <c r="K18" s="56"/>
      <c r="L18" s="54"/>
      <c r="M18" s="55" t="str">
        <f t="shared" si="1"/>
        <v> </v>
      </c>
      <c r="N18" s="56"/>
      <c r="O18" s="54"/>
      <c r="P18" s="55" t="str">
        <f>IF(O18&gt;0,ROUNDDOWN((SQRT(O18)-2.0232)/0.00874,0)," ")</f>
        <v> </v>
      </c>
      <c r="Q18" s="56"/>
      <c r="R18" s="57"/>
      <c r="S18" s="55" t="str">
        <f>IF(R18&gt;0,ROUNDDOWN(((800/(R18*86400))-2.0232)/0.00647,0)," ")</f>
        <v> </v>
      </c>
      <c r="T18" s="58"/>
      <c r="U18" s="59"/>
      <c r="V18" s="60"/>
    </row>
    <row r="19" spans="1:22" ht="15.75">
      <c r="A19" s="28"/>
      <c r="B19" s="29"/>
      <c r="C19" s="29"/>
      <c r="D19" s="30"/>
      <c r="E19" s="45" t="s">
        <v>55</v>
      </c>
      <c r="F19" s="46" t="s">
        <v>260</v>
      </c>
      <c r="G19" s="44"/>
      <c r="H19" s="43"/>
      <c r="I19" s="46" t="s">
        <v>261</v>
      </c>
      <c r="J19" s="44"/>
      <c r="K19" s="43"/>
      <c r="L19" s="23"/>
      <c r="M19" s="21" t="str">
        <f>IF(L19&gt;0,ROUNDDOWN((SQRT(L19)-1.15028)/0.00219,0)," ")</f>
        <v> </v>
      </c>
      <c r="N19" s="22"/>
      <c r="O19" s="23"/>
      <c r="P19" s="21" t="str">
        <f>IF(O19&gt;0,ROUNDDOWN((SQRT(O19)-1.936)/0.0124,0)," ")</f>
        <v> </v>
      </c>
      <c r="Q19" s="22"/>
      <c r="R19" s="24"/>
      <c r="S19" s="21" t="str">
        <f>IF(R19&gt;0,ROUNDDOWN(((1000/(R19*86400))-2.158)/0.006,0)," ")</f>
        <v> </v>
      </c>
      <c r="T19" s="25"/>
      <c r="U19" s="26"/>
      <c r="V19" s="27"/>
    </row>
    <row r="20" spans="1:22" ht="15.75">
      <c r="A20" s="28"/>
      <c r="B20" s="29"/>
      <c r="C20" s="29"/>
      <c r="D20" s="30"/>
      <c r="E20" s="45"/>
      <c r="F20" s="46" t="s">
        <v>56</v>
      </c>
      <c r="G20" s="44"/>
      <c r="H20" s="43"/>
      <c r="I20" s="46" t="s">
        <v>262</v>
      </c>
      <c r="J20" s="44"/>
      <c r="K20" s="43"/>
      <c r="L20" s="23"/>
      <c r="M20" s="21"/>
      <c r="N20" s="22"/>
      <c r="O20" s="23"/>
      <c r="P20" s="21"/>
      <c r="Q20" s="22"/>
      <c r="R20" s="24"/>
      <c r="S20" s="21"/>
      <c r="T20" s="25"/>
      <c r="U20" s="26"/>
      <c r="V20" s="27"/>
    </row>
    <row r="21" spans="6:22" ht="12.75">
      <c r="F21" s="32"/>
      <c r="G21" s="1"/>
      <c r="H21" s="1"/>
      <c r="I21" s="32"/>
      <c r="J21" s="1"/>
      <c r="K21" s="1"/>
      <c r="L21" s="32"/>
      <c r="M21" s="1"/>
      <c r="N21" s="1"/>
      <c r="O21" s="32"/>
      <c r="P21" s="1"/>
      <c r="Q21" s="1"/>
      <c r="R21" s="34"/>
      <c r="S21" s="33"/>
      <c r="T21" s="33"/>
      <c r="U21" s="33"/>
      <c r="V21" s="33"/>
    </row>
    <row r="22" spans="19:22" ht="12.75">
      <c r="S22" s="35"/>
      <c r="T22" s="35"/>
      <c r="U22" s="35"/>
      <c r="V22" s="35"/>
    </row>
    <row r="23" spans="19:22" ht="12.75">
      <c r="S23" s="35"/>
      <c r="T23" s="35"/>
      <c r="U23" s="35"/>
      <c r="V23" s="35"/>
    </row>
    <row r="24" spans="19:22" ht="12.75">
      <c r="S24" s="35"/>
      <c r="T24" s="35"/>
      <c r="U24" s="35"/>
      <c r="V24" s="35"/>
    </row>
    <row r="25" spans="19:22" ht="12.75">
      <c r="S25" s="35"/>
      <c r="T25" s="35"/>
      <c r="U25" s="35"/>
      <c r="V25" s="35"/>
    </row>
    <row r="26" spans="19:22" ht="12.75">
      <c r="S26" s="35"/>
      <c r="T26" s="35"/>
      <c r="U26" s="35"/>
      <c r="V26" s="35"/>
    </row>
    <row r="27" spans="19:22" ht="12.75">
      <c r="S27" s="35"/>
      <c r="T27" s="35"/>
      <c r="U27" s="35"/>
      <c r="V27" s="35"/>
    </row>
    <row r="28" spans="19:22" ht="12.75">
      <c r="S28" s="35"/>
      <c r="T28" s="35"/>
      <c r="U28" s="35"/>
      <c r="V28" s="35"/>
    </row>
    <row r="29" spans="19:22" ht="12.75">
      <c r="S29" s="35"/>
      <c r="T29" s="35"/>
      <c r="U29" s="35"/>
      <c r="V29" s="35"/>
    </row>
    <row r="30" spans="19:22" ht="12.75">
      <c r="S30" s="35"/>
      <c r="T30" s="35"/>
      <c r="U30" s="35"/>
      <c r="V30" s="35"/>
    </row>
    <row r="31" spans="19:22" ht="12.75">
      <c r="S31" s="35"/>
      <c r="T31" s="35"/>
      <c r="U31" s="35"/>
      <c r="V31" s="35"/>
    </row>
    <row r="32" spans="19:22" ht="12.75">
      <c r="S32" s="35"/>
      <c r="T32" s="35"/>
      <c r="U32" s="35"/>
      <c r="V32" s="35"/>
    </row>
    <row r="33" spans="19:22" ht="12.75">
      <c r="S33" s="35"/>
      <c r="T33" s="35"/>
      <c r="U33" s="35"/>
      <c r="V33" s="35"/>
    </row>
    <row r="34" spans="19:22" ht="12.75">
      <c r="S34" s="35"/>
      <c r="T34" s="35"/>
      <c r="U34" s="35"/>
      <c r="V34" s="35"/>
    </row>
    <row r="35" spans="19:22" ht="12.75">
      <c r="S35" s="35"/>
      <c r="T35" s="35"/>
      <c r="U35" s="35"/>
      <c r="V35" s="35"/>
    </row>
    <row r="36" spans="19:22" ht="12.75">
      <c r="S36" s="35"/>
      <c r="T36" s="35"/>
      <c r="U36" s="35"/>
      <c r="V36" s="35"/>
    </row>
    <row r="37" spans="19:22" ht="12.75">
      <c r="S37" s="35"/>
      <c r="T37" s="35"/>
      <c r="U37" s="35"/>
      <c r="V37" s="35"/>
    </row>
    <row r="38" spans="19:22" ht="12.75">
      <c r="S38" s="35"/>
      <c r="T38" s="35"/>
      <c r="U38" s="35"/>
      <c r="V38" s="35"/>
    </row>
    <row r="39" spans="19:22" ht="12.75">
      <c r="S39" s="35"/>
      <c r="T39" s="35"/>
      <c r="U39" s="35"/>
      <c r="V39" s="35"/>
    </row>
    <row r="40" spans="19:22" ht="12.75">
      <c r="S40" s="35"/>
      <c r="T40" s="35"/>
      <c r="U40" s="35"/>
      <c r="V40" s="35"/>
    </row>
    <row r="41" spans="19:22" ht="12.75">
      <c r="S41" s="35"/>
      <c r="T41" s="35"/>
      <c r="U41" s="35"/>
      <c r="V41" s="35"/>
    </row>
    <row r="42" spans="19:22" ht="12.75">
      <c r="S42" s="35"/>
      <c r="T42" s="35"/>
      <c r="U42" s="35"/>
      <c r="V42" s="35"/>
    </row>
    <row r="43" spans="19:22" ht="12.75">
      <c r="S43" s="35"/>
      <c r="T43" s="35"/>
      <c r="U43" s="35"/>
      <c r="V43" s="35"/>
    </row>
    <row r="44" spans="19:22" ht="12.75">
      <c r="S44" s="35"/>
      <c r="T44" s="35"/>
      <c r="U44" s="35"/>
      <c r="V44" s="35"/>
    </row>
    <row r="45" spans="19:22" ht="12.75">
      <c r="S45" s="35"/>
      <c r="T45" s="35"/>
      <c r="U45" s="35"/>
      <c r="V45" s="35"/>
    </row>
    <row r="46" spans="19:22" ht="12.75">
      <c r="S46" s="35"/>
      <c r="T46" s="35"/>
      <c r="U46" s="35"/>
      <c r="V46" s="35"/>
    </row>
    <row r="47" spans="19:22" ht="12.75">
      <c r="S47" s="35"/>
      <c r="T47" s="35"/>
      <c r="U47" s="35"/>
      <c r="V47" s="35"/>
    </row>
    <row r="48" spans="19:22" ht="12.75">
      <c r="S48" s="35"/>
      <c r="T48" s="35"/>
      <c r="U48" s="35"/>
      <c r="V48" s="35"/>
    </row>
    <row r="49" spans="19:22" ht="12.75">
      <c r="S49" s="35"/>
      <c r="T49" s="35"/>
      <c r="U49" s="35"/>
      <c r="V49" s="35"/>
    </row>
  </sheetData>
  <sheetProtection/>
  <mergeCells count="13">
    <mergeCell ref="A1:I1"/>
    <mergeCell ref="O1:Q1"/>
    <mergeCell ref="A3:A4"/>
    <mergeCell ref="B3:B4"/>
    <mergeCell ref="C3:C4"/>
    <mergeCell ref="D3:D4"/>
    <mergeCell ref="E3:E4"/>
    <mergeCell ref="F3:H3"/>
    <mergeCell ref="I3:K3"/>
    <mergeCell ref="L3:N3"/>
    <mergeCell ref="O3:Q3"/>
    <mergeCell ref="R3:T3"/>
    <mergeCell ref="U3:V3"/>
  </mergeCells>
  <printOptions horizontalCentered="1"/>
  <pageMargins left="0.7875" right="0.7875" top="0.9840277777777777" bottom="0.7875" header="0.5118055555555555" footer="0.5118055555555555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1">
      <selection activeCell="A1" sqref="A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12.33203125" style="3" customWidth="1"/>
    <col min="13" max="13" width="5.83203125" style="0" customWidth="1"/>
    <col min="14" max="14" width="2.83203125" style="0" customWidth="1"/>
    <col min="15" max="15" width="7.33203125" style="3" customWidth="1"/>
    <col min="16" max="16" width="5.83203125" style="0" customWidth="1"/>
    <col min="17" max="17" width="2.83203125" style="0" customWidth="1"/>
    <col min="18" max="18" width="7.33203125" style="3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6" customFormat="1" ht="18.75" customHeight="1">
      <c r="A1" s="37"/>
      <c r="B1" s="38" t="s">
        <v>0</v>
      </c>
      <c r="F1" s="50"/>
      <c r="I1" s="50"/>
      <c r="L1" s="50"/>
      <c r="M1" s="5"/>
      <c r="O1" s="39"/>
      <c r="P1" s="39"/>
      <c r="Q1" s="39"/>
      <c r="S1" s="8" t="s">
        <v>263</v>
      </c>
      <c r="V1" s="8" t="s">
        <v>264</v>
      </c>
    </row>
    <row r="2" ht="15.75">
      <c r="B2" s="48" t="s">
        <v>57</v>
      </c>
    </row>
    <row r="3" ht="12.75" customHeight="1">
      <c r="A3" s="47"/>
    </row>
    <row r="4" spans="1:22" ht="12.75" customHeight="1">
      <c r="A4" s="81" t="s">
        <v>2</v>
      </c>
      <c r="B4" s="82" t="s">
        <v>3</v>
      </c>
      <c r="C4" s="82" t="s">
        <v>4</v>
      </c>
      <c r="D4" s="81" t="s">
        <v>5</v>
      </c>
      <c r="E4" s="82" t="s">
        <v>6</v>
      </c>
      <c r="F4" s="84" t="s">
        <v>58</v>
      </c>
      <c r="G4" s="84"/>
      <c r="H4" s="84"/>
      <c r="I4" s="84" t="s">
        <v>59</v>
      </c>
      <c r="J4" s="84"/>
      <c r="K4" s="84"/>
      <c r="L4" s="77" t="s">
        <v>60</v>
      </c>
      <c r="M4" s="77"/>
      <c r="N4" s="77"/>
      <c r="O4" s="77" t="s">
        <v>8</v>
      </c>
      <c r="P4" s="77"/>
      <c r="Q4" s="77"/>
      <c r="R4" s="77" t="s">
        <v>61</v>
      </c>
      <c r="S4" s="77"/>
      <c r="T4" s="77"/>
      <c r="U4" s="78" t="s">
        <v>62</v>
      </c>
      <c r="V4" s="78"/>
    </row>
    <row r="5" spans="1:22" s="1" customFormat="1" ht="12.75" customHeight="1">
      <c r="A5" s="81"/>
      <c r="B5" s="82"/>
      <c r="C5" s="82"/>
      <c r="D5" s="81"/>
      <c r="E5" s="82"/>
      <c r="F5" s="12" t="s">
        <v>12</v>
      </c>
      <c r="G5" s="10" t="s">
        <v>13</v>
      </c>
      <c r="H5" s="11"/>
      <c r="I5" s="9" t="s">
        <v>12</v>
      </c>
      <c r="J5" s="10" t="s">
        <v>13</v>
      </c>
      <c r="K5" s="11"/>
      <c r="L5" s="12" t="s">
        <v>63</v>
      </c>
      <c r="M5" s="10" t="s">
        <v>13</v>
      </c>
      <c r="N5" s="11"/>
      <c r="O5" s="12" t="s">
        <v>14</v>
      </c>
      <c r="P5" s="10" t="s">
        <v>13</v>
      </c>
      <c r="Q5" s="11"/>
      <c r="R5" s="12" t="s">
        <v>14</v>
      </c>
      <c r="S5" s="10" t="s">
        <v>13</v>
      </c>
      <c r="T5" s="11"/>
      <c r="U5" s="14" t="s">
        <v>13</v>
      </c>
      <c r="V5" s="15" t="s">
        <v>15</v>
      </c>
    </row>
    <row r="6" spans="1:22" s="1" customFormat="1" ht="12.75" customHeight="1">
      <c r="A6" s="51"/>
      <c r="B6" s="64"/>
      <c r="C6" s="64"/>
      <c r="D6" s="74"/>
      <c r="E6" s="64"/>
      <c r="F6" s="66"/>
      <c r="G6" s="55" t="str">
        <f aca="true" t="shared" si="0" ref="G6:G14">IF(F6&gt;0,ROUNDDOWN(((100/F6)-4.0062)/0.00656,0)," ")</f>
        <v> </v>
      </c>
      <c r="H6" s="56"/>
      <c r="I6" s="66"/>
      <c r="J6" s="55" t="str">
        <f aca="true" t="shared" si="1" ref="J6:J14">IF(I6&gt;0,ROUNDDOWN(((80/I6)-2.01)/0.0078,0)," ")</f>
        <v> </v>
      </c>
      <c r="K6" s="56"/>
      <c r="L6" s="54"/>
      <c r="M6" s="55" t="str">
        <f aca="true" t="shared" si="2" ref="M6:M11">IF(L6&gt;0,ROUNDDOWN((SQRT(L6)-0.8807)/0.00068,0)," ")</f>
        <v> </v>
      </c>
      <c r="N6" s="56"/>
      <c r="O6" s="54"/>
      <c r="P6" s="55" t="str">
        <f aca="true" t="shared" si="3" ref="P6:P15">IF(O6&gt;0,ROUNDDOWN((SQRT(O6)-1.0935)/0.00208,0)," ")</f>
        <v> </v>
      </c>
      <c r="Q6" s="56"/>
      <c r="R6" s="54"/>
      <c r="S6" s="55" t="str">
        <f aca="true" t="shared" si="4" ref="S6:S15">IF(R6&gt;0,ROUNDDOWN((SQRT(R6)-0.422)/0.01012,0)," ")</f>
        <v> </v>
      </c>
      <c r="T6" s="56"/>
      <c r="U6" s="59">
        <f aca="true" t="shared" si="5" ref="U6:U15">SUM(G6,J6,M6,P6,S6)</f>
        <v>0</v>
      </c>
      <c r="V6" s="60"/>
    </row>
    <row r="7" spans="1:22" ht="15.75">
      <c r="A7" s="51">
        <v>233</v>
      </c>
      <c r="B7" s="64" t="s">
        <v>268</v>
      </c>
      <c r="C7" s="64" t="s">
        <v>269</v>
      </c>
      <c r="D7" s="62">
        <v>1997</v>
      </c>
      <c r="E7" s="63" t="s">
        <v>27</v>
      </c>
      <c r="F7" s="66">
        <v>13.94</v>
      </c>
      <c r="G7" s="55">
        <f t="shared" si="0"/>
        <v>482</v>
      </c>
      <c r="H7" s="56" t="s">
        <v>48</v>
      </c>
      <c r="I7" s="66">
        <v>13.42</v>
      </c>
      <c r="J7" s="55">
        <f t="shared" si="1"/>
        <v>506</v>
      </c>
      <c r="K7" s="56" t="s">
        <v>48</v>
      </c>
      <c r="L7" s="54">
        <v>1.5</v>
      </c>
      <c r="M7" s="55">
        <f t="shared" si="2"/>
        <v>505</v>
      </c>
      <c r="N7" s="56"/>
      <c r="O7" s="54">
        <v>4.71</v>
      </c>
      <c r="P7" s="55">
        <f t="shared" si="3"/>
        <v>517</v>
      </c>
      <c r="Q7" s="56"/>
      <c r="R7" s="54">
        <v>22.9</v>
      </c>
      <c r="S7" s="55">
        <f t="shared" si="4"/>
        <v>431</v>
      </c>
      <c r="T7" s="56"/>
      <c r="U7" s="59">
        <f t="shared" si="5"/>
        <v>2441</v>
      </c>
      <c r="V7" s="60">
        <v>1</v>
      </c>
    </row>
    <row r="8" spans="1:22" ht="15.75">
      <c r="A8" s="51">
        <v>126</v>
      </c>
      <c r="B8" s="64" t="s">
        <v>52</v>
      </c>
      <c r="C8" s="64" t="s">
        <v>270</v>
      </c>
      <c r="D8" s="62">
        <v>1997</v>
      </c>
      <c r="E8" s="63" t="s">
        <v>184</v>
      </c>
      <c r="F8" s="66">
        <v>14.62</v>
      </c>
      <c r="G8" s="55">
        <f t="shared" si="0"/>
        <v>431</v>
      </c>
      <c r="H8" s="56" t="s">
        <v>48</v>
      </c>
      <c r="I8" s="66">
        <v>16.46</v>
      </c>
      <c r="J8" s="55">
        <f t="shared" si="1"/>
        <v>365</v>
      </c>
      <c r="K8" s="56" t="s">
        <v>48</v>
      </c>
      <c r="L8" s="54">
        <v>1.3</v>
      </c>
      <c r="M8" s="55">
        <f t="shared" si="2"/>
        <v>381</v>
      </c>
      <c r="N8" s="56"/>
      <c r="O8" s="54">
        <v>3.84</v>
      </c>
      <c r="P8" s="55">
        <f t="shared" si="3"/>
        <v>416</v>
      </c>
      <c r="Q8" s="56"/>
      <c r="R8" s="54">
        <v>20</v>
      </c>
      <c r="S8" s="55">
        <f t="shared" si="4"/>
        <v>400</v>
      </c>
      <c r="T8" s="56"/>
      <c r="U8" s="59">
        <f t="shared" si="5"/>
        <v>1993</v>
      </c>
      <c r="V8" s="60">
        <v>2</v>
      </c>
    </row>
    <row r="9" spans="1:22" ht="12.75" customHeight="1">
      <c r="A9" s="51"/>
      <c r="B9" s="64"/>
      <c r="C9" s="64"/>
      <c r="D9" s="62"/>
      <c r="E9" s="63"/>
      <c r="F9" s="66"/>
      <c r="G9" s="55" t="str">
        <f t="shared" si="0"/>
        <v> </v>
      </c>
      <c r="H9" s="56"/>
      <c r="I9" s="66"/>
      <c r="J9" s="55" t="str">
        <f t="shared" si="1"/>
        <v> </v>
      </c>
      <c r="K9" s="56"/>
      <c r="L9" s="54"/>
      <c r="M9" s="55" t="str">
        <f t="shared" si="2"/>
        <v> </v>
      </c>
      <c r="N9" s="56"/>
      <c r="O9" s="54"/>
      <c r="P9" s="55" t="str">
        <f t="shared" si="3"/>
        <v> </v>
      </c>
      <c r="Q9" s="56"/>
      <c r="R9" s="54"/>
      <c r="S9" s="55" t="str">
        <f t="shared" si="4"/>
        <v> </v>
      </c>
      <c r="T9" s="56"/>
      <c r="U9" s="59">
        <f t="shared" si="5"/>
        <v>0</v>
      </c>
      <c r="V9" s="60"/>
    </row>
    <row r="10" spans="1:22" ht="15.75" customHeight="1">
      <c r="A10" s="51">
        <v>99</v>
      </c>
      <c r="B10" s="64" t="s">
        <v>271</v>
      </c>
      <c r="C10" s="64" t="s">
        <v>272</v>
      </c>
      <c r="D10" s="62">
        <v>1996</v>
      </c>
      <c r="E10" s="63" t="s">
        <v>32</v>
      </c>
      <c r="F10" s="66">
        <v>14.19</v>
      </c>
      <c r="G10" s="55">
        <f t="shared" si="0"/>
        <v>463</v>
      </c>
      <c r="H10" s="56" t="s">
        <v>48</v>
      </c>
      <c r="I10" s="66">
        <v>15.4</v>
      </c>
      <c r="J10" s="55">
        <f t="shared" si="1"/>
        <v>408</v>
      </c>
      <c r="K10" s="56" t="s">
        <v>48</v>
      </c>
      <c r="L10" s="54">
        <v>1.4</v>
      </c>
      <c r="M10" s="55">
        <f t="shared" si="2"/>
        <v>444</v>
      </c>
      <c r="N10" s="56"/>
      <c r="O10" s="54">
        <v>4.51</v>
      </c>
      <c r="P10" s="55">
        <f t="shared" si="3"/>
        <v>495</v>
      </c>
      <c r="Q10" s="56"/>
      <c r="R10" s="54">
        <v>10.93</v>
      </c>
      <c r="S10" s="55">
        <f t="shared" si="4"/>
        <v>284</v>
      </c>
      <c r="T10" s="56"/>
      <c r="U10" s="59">
        <f t="shared" si="5"/>
        <v>2094</v>
      </c>
      <c r="V10" s="60">
        <v>1</v>
      </c>
    </row>
    <row r="11" spans="1:22" s="1" customFormat="1" ht="15.75">
      <c r="A11" s="51">
        <v>97</v>
      </c>
      <c r="B11" s="64" t="s">
        <v>273</v>
      </c>
      <c r="C11" s="64" t="s">
        <v>88</v>
      </c>
      <c r="D11" s="62">
        <v>1996</v>
      </c>
      <c r="E11" s="63" t="s">
        <v>32</v>
      </c>
      <c r="F11" s="66">
        <v>15.65</v>
      </c>
      <c r="G11" s="55">
        <f t="shared" si="0"/>
        <v>363</v>
      </c>
      <c r="H11" s="56" t="s">
        <v>48</v>
      </c>
      <c r="I11" s="66">
        <v>17.01</v>
      </c>
      <c r="J11" s="55">
        <f t="shared" si="1"/>
        <v>345</v>
      </c>
      <c r="K11" s="56" t="s">
        <v>48</v>
      </c>
      <c r="L11" s="54">
        <v>1.35</v>
      </c>
      <c r="M11" s="55">
        <f t="shared" si="2"/>
        <v>413</v>
      </c>
      <c r="N11" s="56"/>
      <c r="O11" s="54">
        <v>3.75</v>
      </c>
      <c r="P11" s="55">
        <f t="shared" si="3"/>
        <v>405</v>
      </c>
      <c r="Q11" s="56"/>
      <c r="R11" s="54">
        <v>16.13</v>
      </c>
      <c r="S11" s="55">
        <f t="shared" si="4"/>
        <v>355</v>
      </c>
      <c r="T11" s="56"/>
      <c r="U11" s="59">
        <f t="shared" si="5"/>
        <v>1881</v>
      </c>
      <c r="V11" s="60">
        <v>2</v>
      </c>
    </row>
    <row r="12" spans="1:22" s="1" customFormat="1" ht="15.75">
      <c r="A12" s="51">
        <v>95</v>
      </c>
      <c r="B12" s="64" t="s">
        <v>274</v>
      </c>
      <c r="C12" s="64" t="s">
        <v>207</v>
      </c>
      <c r="D12" s="62">
        <v>1996</v>
      </c>
      <c r="E12" s="63" t="s">
        <v>32</v>
      </c>
      <c r="F12" s="66">
        <v>14.86</v>
      </c>
      <c r="G12" s="55">
        <f t="shared" si="0"/>
        <v>415</v>
      </c>
      <c r="H12" s="56" t="s">
        <v>48</v>
      </c>
      <c r="I12" s="66">
        <v>16.77</v>
      </c>
      <c r="J12" s="55">
        <f t="shared" si="1"/>
        <v>353</v>
      </c>
      <c r="K12" s="56" t="s">
        <v>48</v>
      </c>
      <c r="L12" s="54" t="s">
        <v>34</v>
      </c>
      <c r="M12" s="55">
        <v>0</v>
      </c>
      <c r="N12" s="56"/>
      <c r="O12" s="54">
        <v>4.05</v>
      </c>
      <c r="P12" s="55">
        <f t="shared" si="3"/>
        <v>441</v>
      </c>
      <c r="Q12" s="56"/>
      <c r="R12" s="54">
        <v>28.2</v>
      </c>
      <c r="S12" s="55">
        <f t="shared" si="4"/>
        <v>483</v>
      </c>
      <c r="T12" s="56"/>
      <c r="U12" s="59">
        <f t="shared" si="5"/>
        <v>1692</v>
      </c>
      <c r="V12" s="60">
        <v>3</v>
      </c>
    </row>
    <row r="13" spans="1:22" s="1" customFormat="1" ht="15.75" customHeight="1">
      <c r="A13" s="51">
        <v>41</v>
      </c>
      <c r="B13" s="67" t="s">
        <v>30</v>
      </c>
      <c r="C13" s="67" t="s">
        <v>275</v>
      </c>
      <c r="D13" s="62">
        <v>1996</v>
      </c>
      <c r="E13" s="63" t="s">
        <v>18</v>
      </c>
      <c r="F13" s="66">
        <v>14.72</v>
      </c>
      <c r="G13" s="55">
        <f t="shared" si="0"/>
        <v>424</v>
      </c>
      <c r="H13" s="56" t="s">
        <v>48</v>
      </c>
      <c r="I13" s="66" t="s">
        <v>51</v>
      </c>
      <c r="J13" s="55">
        <v>0</v>
      </c>
      <c r="K13" s="56"/>
      <c r="L13" s="66" t="s">
        <v>51</v>
      </c>
      <c r="M13" s="55">
        <v>0</v>
      </c>
      <c r="N13" s="56"/>
      <c r="O13" s="54">
        <v>4.46</v>
      </c>
      <c r="P13" s="55">
        <f t="shared" si="3"/>
        <v>489</v>
      </c>
      <c r="Q13" s="56"/>
      <c r="R13" s="66" t="s">
        <v>51</v>
      </c>
      <c r="S13" s="55">
        <v>0</v>
      </c>
      <c r="T13" s="56"/>
      <c r="U13" s="59">
        <f t="shared" si="5"/>
        <v>913</v>
      </c>
      <c r="V13" s="60">
        <v>4</v>
      </c>
    </row>
    <row r="14" spans="1:22" s="1" customFormat="1" ht="12.75" customHeight="1">
      <c r="A14" s="51"/>
      <c r="B14" s="64"/>
      <c r="C14" s="64"/>
      <c r="D14" s="62"/>
      <c r="E14" s="63"/>
      <c r="F14" s="66"/>
      <c r="G14" s="55" t="str">
        <f t="shared" si="0"/>
        <v> </v>
      </c>
      <c r="H14" s="56"/>
      <c r="I14" s="66"/>
      <c r="J14" s="55" t="str">
        <f t="shared" si="1"/>
        <v> </v>
      </c>
      <c r="K14" s="56"/>
      <c r="L14" s="54"/>
      <c r="M14" s="55" t="str">
        <f>IF(L14&gt;0,ROUNDDOWN((SQRT(L14)-0.8807)/0.00068,0)," ")</f>
        <v> </v>
      </c>
      <c r="N14" s="56"/>
      <c r="O14" s="54"/>
      <c r="P14" s="55" t="str">
        <f t="shared" si="3"/>
        <v> </v>
      </c>
      <c r="Q14" s="56"/>
      <c r="R14" s="54"/>
      <c r="S14" s="55" t="str">
        <f t="shared" si="4"/>
        <v> </v>
      </c>
      <c r="T14" s="56"/>
      <c r="U14" s="59">
        <f t="shared" si="5"/>
        <v>0</v>
      </c>
      <c r="V14" s="60"/>
    </row>
    <row r="15" spans="1:22" s="1" customFormat="1" ht="12.75" customHeight="1">
      <c r="A15" s="51"/>
      <c r="B15" s="63"/>
      <c r="C15" s="63"/>
      <c r="D15" s="62"/>
      <c r="E15" s="40" t="s">
        <v>55</v>
      </c>
      <c r="F15" s="41" t="s">
        <v>265</v>
      </c>
      <c r="G15" s="42"/>
      <c r="H15" s="43"/>
      <c r="I15" s="41" t="s">
        <v>261</v>
      </c>
      <c r="J15" s="42"/>
      <c r="K15" s="43"/>
      <c r="L15" s="54"/>
      <c r="M15" s="55" t="str">
        <f>IF(L15&gt;0,ROUNDDOWN((SQRT(L15)-0.8807)/0.00068,0)," ")</f>
        <v> </v>
      </c>
      <c r="N15" s="56"/>
      <c r="O15" s="54"/>
      <c r="P15" s="55" t="str">
        <f t="shared" si="3"/>
        <v> </v>
      </c>
      <c r="Q15" s="56"/>
      <c r="R15" s="54"/>
      <c r="S15" s="55" t="str">
        <f t="shared" si="4"/>
        <v> </v>
      </c>
      <c r="T15" s="56"/>
      <c r="U15" s="59">
        <f t="shared" si="5"/>
        <v>0</v>
      </c>
      <c r="V15" s="60"/>
    </row>
    <row r="16" spans="21:22" ht="12.75" customHeight="1">
      <c r="U16" s="35"/>
      <c r="V16" s="35"/>
    </row>
    <row r="17" ht="15.75">
      <c r="B17" s="48" t="s">
        <v>65</v>
      </c>
    </row>
    <row r="18" ht="12.75" customHeight="1"/>
    <row r="19" spans="1:22" ht="12.75" customHeight="1">
      <c r="A19" s="81" t="s">
        <v>2</v>
      </c>
      <c r="B19" s="82" t="s">
        <v>3</v>
      </c>
      <c r="C19" s="82" t="s">
        <v>4</v>
      </c>
      <c r="D19" s="81" t="s">
        <v>5</v>
      </c>
      <c r="E19" s="82" t="s">
        <v>6</v>
      </c>
      <c r="F19" s="84" t="s">
        <v>58</v>
      </c>
      <c r="G19" s="84"/>
      <c r="H19" s="84"/>
      <c r="I19" s="84" t="s">
        <v>59</v>
      </c>
      <c r="J19" s="84"/>
      <c r="K19" s="84"/>
      <c r="L19" s="84" t="s">
        <v>66</v>
      </c>
      <c r="M19" s="84"/>
      <c r="N19" s="84"/>
      <c r="O19" s="77" t="s">
        <v>8</v>
      </c>
      <c r="P19" s="77"/>
      <c r="Q19" s="77"/>
      <c r="R19" s="77" t="s">
        <v>45</v>
      </c>
      <c r="S19" s="77"/>
      <c r="T19" s="77"/>
      <c r="U19" s="78" t="s">
        <v>20</v>
      </c>
      <c r="V19" s="78"/>
    </row>
    <row r="20" spans="1:22" ht="12.75" customHeight="1">
      <c r="A20" s="81"/>
      <c r="B20" s="82"/>
      <c r="C20" s="82"/>
      <c r="D20" s="81"/>
      <c r="E20" s="82"/>
      <c r="F20" s="12" t="s">
        <v>12</v>
      </c>
      <c r="G20" s="10" t="s">
        <v>13</v>
      </c>
      <c r="H20" s="11"/>
      <c r="I20" s="9" t="s">
        <v>12</v>
      </c>
      <c r="J20" s="10" t="s">
        <v>13</v>
      </c>
      <c r="K20" s="11"/>
      <c r="L20" s="9" t="s">
        <v>12</v>
      </c>
      <c r="M20" s="10" t="s">
        <v>13</v>
      </c>
      <c r="N20" s="11"/>
      <c r="O20" s="12" t="s">
        <v>14</v>
      </c>
      <c r="P20" s="10" t="s">
        <v>13</v>
      </c>
      <c r="Q20" s="11"/>
      <c r="R20" s="12" t="s">
        <v>14</v>
      </c>
      <c r="S20" s="10" t="s">
        <v>13</v>
      </c>
      <c r="T20" s="11"/>
      <c r="U20" s="14" t="s">
        <v>13</v>
      </c>
      <c r="V20" s="15" t="s">
        <v>15</v>
      </c>
    </row>
    <row r="21" spans="1:22" s="1" customFormat="1" ht="12.75" customHeight="1">
      <c r="A21" s="51"/>
      <c r="B21" s="63"/>
      <c r="C21" s="63"/>
      <c r="D21" s="62"/>
      <c r="E21" s="63"/>
      <c r="F21" s="66"/>
      <c r="G21" s="55" t="str">
        <f aca="true" t="shared" si="6" ref="G21:G27">IF(F21&gt;0,ROUNDDOWN(((100/F21)-4.0062)/0.00656,0)," ")</f>
        <v> </v>
      </c>
      <c r="H21" s="56"/>
      <c r="I21" s="66"/>
      <c r="J21" s="55" t="str">
        <f aca="true" t="shared" si="7" ref="J21:J27">IF(I21&gt;0,ROUNDDOWN(((80/I21)-2.01)/0.0078,0)," ")</f>
        <v> </v>
      </c>
      <c r="K21" s="56"/>
      <c r="L21" s="57"/>
      <c r="M21" s="55" t="str">
        <f aca="true" t="shared" si="8" ref="M21:M27">IF(L21&gt;0,ROUNDDOWN(((2000/(L21*86400))-1.8)/0.0054,0)," ")</f>
        <v> </v>
      </c>
      <c r="N21" s="56"/>
      <c r="O21" s="54"/>
      <c r="P21" s="55" t="str">
        <f aca="true" t="shared" si="9" ref="P21:P27">IF(O21&gt;0,ROUNDDOWN((SQRT(O21)-1.0935)/0.00208,0)," ")</f>
        <v> </v>
      </c>
      <c r="Q21" s="56"/>
      <c r="R21" s="54"/>
      <c r="S21" s="55" t="str">
        <f aca="true" t="shared" si="10" ref="S21:S27">IF(R21&gt;0,ROUNDDOWN((SQRT(R21)-1.4149)/0.01039,0)," ")</f>
        <v> </v>
      </c>
      <c r="T21" s="56"/>
      <c r="U21" s="59">
        <f>SUM(G21,I21,M21,P21,S21)</f>
        <v>0</v>
      </c>
      <c r="V21" s="60"/>
    </row>
    <row r="22" spans="1:22" s="1" customFormat="1" ht="15.75" customHeight="1">
      <c r="A22" s="51">
        <v>165</v>
      </c>
      <c r="B22" s="52" t="s">
        <v>54</v>
      </c>
      <c r="C22" s="52" t="s">
        <v>276</v>
      </c>
      <c r="D22" s="53">
        <v>1997</v>
      </c>
      <c r="E22" s="52" t="s">
        <v>31</v>
      </c>
      <c r="F22" s="66">
        <v>16.1</v>
      </c>
      <c r="G22" s="55">
        <f t="shared" si="6"/>
        <v>336</v>
      </c>
      <c r="H22" s="56" t="s">
        <v>53</v>
      </c>
      <c r="I22" s="66">
        <v>16.79</v>
      </c>
      <c r="J22" s="55">
        <f t="shared" si="7"/>
        <v>353</v>
      </c>
      <c r="K22" s="56" t="s">
        <v>53</v>
      </c>
      <c r="L22" s="57">
        <v>0.006327083333333334</v>
      </c>
      <c r="M22" s="55">
        <f>IF(L22&gt;0,ROUNDDOWN(((2000/(L22*86400))-1.8)/0.0054,0)," ")</f>
        <v>344</v>
      </c>
      <c r="N22" s="56"/>
      <c r="O22" s="54">
        <v>3.75</v>
      </c>
      <c r="P22" s="55">
        <f>IF(O22&gt;0,ROUNDDOWN((SQRT(O22)-1.0935)/0.00208,0)," ")</f>
        <v>405</v>
      </c>
      <c r="Q22" s="56"/>
      <c r="R22" s="54">
        <v>35.5</v>
      </c>
      <c r="S22" s="55">
        <f>IF(R22&gt;0,ROUNDDOWN((SQRT(R22)-1.4149)/0.01039,0)," ")</f>
        <v>437</v>
      </c>
      <c r="T22" s="56"/>
      <c r="U22" s="59">
        <f aca="true" t="shared" si="11" ref="U22:U27">SUM(G22,J22,M22,P22,S22)</f>
        <v>1875</v>
      </c>
      <c r="V22" s="60">
        <v>1</v>
      </c>
    </row>
    <row r="23" spans="1:22" s="1" customFormat="1" ht="15.75" customHeight="1">
      <c r="A23" s="51">
        <v>40</v>
      </c>
      <c r="B23" s="64" t="s">
        <v>23</v>
      </c>
      <c r="C23" s="64" t="s">
        <v>238</v>
      </c>
      <c r="D23" s="62">
        <v>1997</v>
      </c>
      <c r="E23" s="63" t="s">
        <v>18</v>
      </c>
      <c r="F23" s="66">
        <v>16.34</v>
      </c>
      <c r="G23" s="55">
        <f t="shared" si="6"/>
        <v>322</v>
      </c>
      <c r="H23" s="56" t="s">
        <v>53</v>
      </c>
      <c r="I23" s="66">
        <v>17.94</v>
      </c>
      <c r="J23" s="55">
        <f t="shared" si="7"/>
        <v>314</v>
      </c>
      <c r="K23" s="56" t="s">
        <v>53</v>
      </c>
      <c r="L23" s="57">
        <v>0.005551273148148148</v>
      </c>
      <c r="M23" s="55">
        <f t="shared" si="8"/>
        <v>438</v>
      </c>
      <c r="N23" s="56"/>
      <c r="O23" s="54">
        <v>3.5</v>
      </c>
      <c r="P23" s="55">
        <f t="shared" si="9"/>
        <v>373</v>
      </c>
      <c r="Q23" s="56"/>
      <c r="R23" s="54">
        <v>20.5</v>
      </c>
      <c r="S23" s="55">
        <f t="shared" si="10"/>
        <v>299</v>
      </c>
      <c r="T23" s="56"/>
      <c r="U23" s="59">
        <f t="shared" si="11"/>
        <v>1746</v>
      </c>
      <c r="V23" s="60">
        <v>2</v>
      </c>
    </row>
    <row r="24" spans="1:22" s="1" customFormat="1" ht="12.75" customHeight="1">
      <c r="A24" s="51"/>
      <c r="B24" s="64"/>
      <c r="C24" s="64"/>
      <c r="D24" s="62"/>
      <c r="E24" s="63"/>
      <c r="F24" s="66"/>
      <c r="G24" s="55" t="str">
        <f t="shared" si="6"/>
        <v> </v>
      </c>
      <c r="H24" s="56"/>
      <c r="I24" s="66"/>
      <c r="J24" s="55" t="str">
        <f t="shared" si="7"/>
        <v> </v>
      </c>
      <c r="K24" s="56"/>
      <c r="L24" s="57"/>
      <c r="M24" s="55" t="str">
        <f>IF(L24&gt;0,ROUNDDOWN(((2000/(L24*86400))-1.8)/0.0054,0)," ")</f>
        <v> </v>
      </c>
      <c r="N24" s="56"/>
      <c r="O24" s="54"/>
      <c r="P24" s="55" t="str">
        <f>IF(O24&gt;0,ROUNDDOWN((SQRT(O24)-1.0935)/0.00208,0)," ")</f>
        <v> </v>
      </c>
      <c r="Q24" s="56"/>
      <c r="R24" s="54"/>
      <c r="S24" s="55" t="str">
        <f>IF(R24&gt;0,ROUNDDOWN((SQRT(R24)-1.4149)/0.01039,0)," ")</f>
        <v> </v>
      </c>
      <c r="T24" s="56"/>
      <c r="U24" s="59">
        <f t="shared" si="11"/>
        <v>0</v>
      </c>
      <c r="V24" s="60"/>
    </row>
    <row r="25" spans="1:22" s="1" customFormat="1" ht="15.75" customHeight="1">
      <c r="A25" s="51">
        <v>225</v>
      </c>
      <c r="B25" s="64" t="s">
        <v>37</v>
      </c>
      <c r="C25" s="64" t="s">
        <v>186</v>
      </c>
      <c r="D25" s="62">
        <v>1996</v>
      </c>
      <c r="E25" s="63" t="s">
        <v>29</v>
      </c>
      <c r="F25" s="66">
        <v>13.69</v>
      </c>
      <c r="G25" s="55">
        <f t="shared" si="6"/>
        <v>502</v>
      </c>
      <c r="H25" s="56" t="s">
        <v>53</v>
      </c>
      <c r="I25" s="66">
        <v>14.35</v>
      </c>
      <c r="J25" s="55">
        <f t="shared" si="7"/>
        <v>457</v>
      </c>
      <c r="K25" s="56" t="s">
        <v>53</v>
      </c>
      <c r="L25" s="57">
        <v>0.0049908564814814815</v>
      </c>
      <c r="M25" s="55">
        <f>IF(L25&gt;0,ROUNDDOWN(((2000/(L25*86400))-1.8)/0.0054,0)," ")</f>
        <v>525</v>
      </c>
      <c r="N25" s="56"/>
      <c r="O25" s="54">
        <v>4.8</v>
      </c>
      <c r="P25" s="55">
        <f>IF(O25&gt;0,ROUNDDOWN((SQRT(O25)-1.0935)/0.00208,0)," ")</f>
        <v>527</v>
      </c>
      <c r="Q25" s="56"/>
      <c r="R25" s="54">
        <v>41.5</v>
      </c>
      <c r="S25" s="55">
        <f>IF(R25&gt;0,ROUNDDOWN((SQRT(R25)-1.4149)/0.01039,0)," ")</f>
        <v>483</v>
      </c>
      <c r="T25" s="56"/>
      <c r="U25" s="59">
        <f t="shared" si="11"/>
        <v>2494</v>
      </c>
      <c r="V25" s="60">
        <v>1</v>
      </c>
    </row>
    <row r="26" spans="1:22" ht="15.75" customHeight="1">
      <c r="A26" s="51">
        <v>209</v>
      </c>
      <c r="B26" s="52" t="s">
        <v>277</v>
      </c>
      <c r="C26" s="52" t="s">
        <v>278</v>
      </c>
      <c r="D26" s="53">
        <v>1996</v>
      </c>
      <c r="E26" s="52" t="s">
        <v>42</v>
      </c>
      <c r="F26" s="66">
        <v>14.18</v>
      </c>
      <c r="G26" s="55">
        <f t="shared" si="6"/>
        <v>464</v>
      </c>
      <c r="H26" s="56" t="s">
        <v>53</v>
      </c>
      <c r="I26" s="66">
        <v>15.64</v>
      </c>
      <c r="J26" s="55">
        <f t="shared" si="7"/>
        <v>398</v>
      </c>
      <c r="K26" s="56" t="s">
        <v>53</v>
      </c>
      <c r="L26" s="57">
        <v>0.006049884259259259</v>
      </c>
      <c r="M26" s="55">
        <f>IF(L26&gt;0,ROUNDDOWN(((2000/(L26*86400))-1.8)/0.0054,0)," ")</f>
        <v>375</v>
      </c>
      <c r="N26" s="56"/>
      <c r="O26" s="54">
        <v>4.23</v>
      </c>
      <c r="P26" s="55">
        <f>IF(O26&gt;0,ROUNDDOWN((SQRT(O26)-1.0935)/0.00208,0)," ")</f>
        <v>463</v>
      </c>
      <c r="Q26" s="56"/>
      <c r="R26" s="54">
        <v>29.5</v>
      </c>
      <c r="S26" s="55">
        <f>IF(R26&gt;0,ROUNDDOWN((SQRT(R26)-1.4149)/0.01039,0)," ")</f>
        <v>386</v>
      </c>
      <c r="T26" s="56"/>
      <c r="U26" s="59">
        <f t="shared" si="11"/>
        <v>2086</v>
      </c>
      <c r="V26" s="60">
        <v>2</v>
      </c>
    </row>
    <row r="27" spans="1:22" ht="12.75" customHeight="1">
      <c r="A27" s="75"/>
      <c r="B27" s="75"/>
      <c r="C27" s="75"/>
      <c r="D27" s="75"/>
      <c r="E27" s="75"/>
      <c r="F27" s="66"/>
      <c r="G27" s="55" t="str">
        <f t="shared" si="6"/>
        <v> </v>
      </c>
      <c r="H27" s="56"/>
      <c r="I27" s="66"/>
      <c r="J27" s="55" t="str">
        <f t="shared" si="7"/>
        <v> </v>
      </c>
      <c r="K27" s="56"/>
      <c r="L27" s="57"/>
      <c r="M27" s="55" t="str">
        <f t="shared" si="8"/>
        <v> </v>
      </c>
      <c r="N27" s="56"/>
      <c r="O27" s="54"/>
      <c r="P27" s="55" t="str">
        <f t="shared" si="9"/>
        <v> </v>
      </c>
      <c r="Q27" s="56"/>
      <c r="R27" s="54"/>
      <c r="S27" s="55" t="str">
        <f t="shared" si="10"/>
        <v> </v>
      </c>
      <c r="T27" s="56"/>
      <c r="U27" s="59">
        <f t="shared" si="11"/>
        <v>0</v>
      </c>
      <c r="V27" s="60"/>
    </row>
    <row r="28" ht="12.75" customHeight="1"/>
    <row r="29" ht="15.75">
      <c r="B29" s="48" t="s">
        <v>67</v>
      </c>
    </row>
    <row r="30" ht="12.75" customHeight="1"/>
    <row r="31" spans="1:22" ht="15.75">
      <c r="A31" s="81" t="s">
        <v>2</v>
      </c>
      <c r="B31" s="82" t="s">
        <v>3</v>
      </c>
      <c r="C31" s="82" t="s">
        <v>4</v>
      </c>
      <c r="D31" s="81" t="s">
        <v>5</v>
      </c>
      <c r="E31" s="82" t="s">
        <v>6</v>
      </c>
      <c r="F31" s="84" t="s">
        <v>58</v>
      </c>
      <c r="G31" s="84"/>
      <c r="H31" s="84"/>
      <c r="I31" s="84" t="s">
        <v>59</v>
      </c>
      <c r="J31" s="84"/>
      <c r="K31" s="84"/>
      <c r="L31" s="77" t="s">
        <v>68</v>
      </c>
      <c r="M31" s="77"/>
      <c r="N31" s="77"/>
      <c r="O31" s="77" t="s">
        <v>8</v>
      </c>
      <c r="P31" s="77"/>
      <c r="Q31" s="77"/>
      <c r="R31" s="77" t="s">
        <v>69</v>
      </c>
      <c r="S31" s="77"/>
      <c r="T31" s="77"/>
      <c r="U31" s="78" t="s">
        <v>70</v>
      </c>
      <c r="V31" s="78"/>
    </row>
    <row r="32" spans="1:22" ht="15.75">
      <c r="A32" s="81"/>
      <c r="B32" s="82"/>
      <c r="C32" s="82"/>
      <c r="D32" s="81"/>
      <c r="E32" s="82"/>
      <c r="F32" s="12" t="s">
        <v>12</v>
      </c>
      <c r="G32" s="10" t="s">
        <v>13</v>
      </c>
      <c r="H32" s="11"/>
      <c r="I32" s="9" t="s">
        <v>12</v>
      </c>
      <c r="J32" s="10" t="s">
        <v>13</v>
      </c>
      <c r="K32" s="11"/>
      <c r="L32" s="12" t="s">
        <v>14</v>
      </c>
      <c r="M32" s="10" t="s">
        <v>13</v>
      </c>
      <c r="N32" s="11"/>
      <c r="O32" s="12" t="s">
        <v>14</v>
      </c>
      <c r="P32" s="10" t="s">
        <v>13</v>
      </c>
      <c r="Q32" s="11"/>
      <c r="R32" s="12" t="s">
        <v>14</v>
      </c>
      <c r="S32" s="10" t="s">
        <v>13</v>
      </c>
      <c r="T32" s="11"/>
      <c r="U32" s="14" t="s">
        <v>13</v>
      </c>
      <c r="V32" s="15" t="s">
        <v>15</v>
      </c>
    </row>
    <row r="33" spans="1:22" ht="12.75" customHeight="1">
      <c r="A33" s="51"/>
      <c r="B33" s="63"/>
      <c r="C33" s="63"/>
      <c r="D33" s="62"/>
      <c r="E33" s="63"/>
      <c r="F33" s="66"/>
      <c r="G33" s="55" t="str">
        <f>IF(F33&gt;0,ROUNDDOWN(((100/F33)-4.0062)/0.00656,0)," ")</f>
        <v> </v>
      </c>
      <c r="H33" s="56"/>
      <c r="I33" s="66"/>
      <c r="J33" s="55" t="str">
        <f>IF(I33&gt;0,ROUNDDOWN(((80/I33)-2.01)/0.0078,0)," ")</f>
        <v> </v>
      </c>
      <c r="K33" s="56"/>
      <c r="L33" s="54"/>
      <c r="M33" s="55" t="str">
        <f>IF(L33&gt;0,ROUNDDOWN((SQRT(L33)-1.0515)/0.0089,0)," ")</f>
        <v> </v>
      </c>
      <c r="N33" s="56"/>
      <c r="O33" s="54"/>
      <c r="P33" s="55" t="str">
        <f>IF(O33&gt;0,ROUNDDOWN((SQRT(O33)-1.0935)/0.00208,0)," ")</f>
        <v> </v>
      </c>
      <c r="Q33" s="56"/>
      <c r="R33" s="54"/>
      <c r="S33" s="55" t="str">
        <f>IF(R33&gt;0,ROUNDDOWN((SQRT(R33)-1.279)/0.00396,0)," ")</f>
        <v> </v>
      </c>
      <c r="T33" s="56"/>
      <c r="U33" s="59">
        <f>SUM(G33,J33,M33,P33,S33)</f>
        <v>0</v>
      </c>
      <c r="V33" s="60"/>
    </row>
    <row r="34" spans="1:22" ht="15.75">
      <c r="A34" s="51">
        <v>246</v>
      </c>
      <c r="B34" s="64" t="s">
        <v>279</v>
      </c>
      <c r="C34" s="64" t="s">
        <v>280</v>
      </c>
      <c r="D34" s="62">
        <v>1996</v>
      </c>
      <c r="E34" s="63" t="s">
        <v>27</v>
      </c>
      <c r="F34" s="66">
        <v>13.38</v>
      </c>
      <c r="G34" s="55">
        <f>IF(F34&gt;0,ROUNDDOWN(((100/F34)-4.0062)/0.00656,0)," ")</f>
        <v>528</v>
      </c>
      <c r="H34" s="56" t="s">
        <v>53</v>
      </c>
      <c r="I34" s="66">
        <v>12.61</v>
      </c>
      <c r="J34" s="55">
        <f>IF(I34&gt;0,ROUNDDOWN(((80/I34)-2.01)/0.0078,0)," ")</f>
        <v>555</v>
      </c>
      <c r="K34" s="56" t="s">
        <v>53</v>
      </c>
      <c r="L34" s="54">
        <v>30.97</v>
      </c>
      <c r="M34" s="55">
        <f>IF(L34&gt;0,ROUNDDOWN((SQRT(L34)-1.0515)/0.0089,0)," ")</f>
        <v>507</v>
      </c>
      <c r="N34" s="56"/>
      <c r="O34" s="54">
        <v>5.44</v>
      </c>
      <c r="P34" s="55">
        <f>IF(O34&gt;0,ROUNDDOWN((SQRT(O34)-1.0935)/0.00208,0)," ")</f>
        <v>595</v>
      </c>
      <c r="Q34" s="56"/>
      <c r="R34" s="54">
        <v>11.1</v>
      </c>
      <c r="S34" s="55">
        <f>IF(R34&gt;0,ROUNDDOWN((SQRT(R34)-1.279)/0.00396,0)," ")</f>
        <v>518</v>
      </c>
      <c r="T34" s="56"/>
      <c r="U34" s="59">
        <f>SUM(G34,J34,M34,P34,S34)</f>
        <v>2703</v>
      </c>
      <c r="V34" s="60">
        <v>1</v>
      </c>
    </row>
    <row r="35" spans="1:22" ht="15.75">
      <c r="A35" s="51">
        <v>238</v>
      </c>
      <c r="B35" s="64" t="s">
        <v>281</v>
      </c>
      <c r="C35" s="64" t="s">
        <v>151</v>
      </c>
      <c r="D35" s="62">
        <v>1998</v>
      </c>
      <c r="E35" s="63" t="s">
        <v>27</v>
      </c>
      <c r="F35" s="66">
        <v>15.98</v>
      </c>
      <c r="G35" s="55">
        <f>IF(F35&gt;0,ROUNDDOWN(((100/F35)-4.0062)/0.00656,0)," ")</f>
        <v>343</v>
      </c>
      <c r="H35" s="56" t="s">
        <v>53</v>
      </c>
      <c r="I35" s="66" t="s">
        <v>36</v>
      </c>
      <c r="J35" s="55">
        <v>0</v>
      </c>
      <c r="K35" s="56"/>
      <c r="L35" s="54">
        <v>21.03</v>
      </c>
      <c r="M35" s="55">
        <f>IF(L35&gt;0,ROUNDDOWN((SQRT(L35)-1.0515)/0.0089,0)," ")</f>
        <v>397</v>
      </c>
      <c r="N35" s="56"/>
      <c r="O35" s="54">
        <v>3.48</v>
      </c>
      <c r="P35" s="55">
        <f>IF(O35&gt;0,ROUNDDOWN((SQRT(O35)-1.0935)/0.00208,0)," ")</f>
        <v>371</v>
      </c>
      <c r="Q35" s="56"/>
      <c r="R35" s="54">
        <v>8.62</v>
      </c>
      <c r="S35" s="55">
        <f>IF(R35&gt;0,ROUNDDOWN((SQRT(R35)-1.279)/0.00396,0)," ")</f>
        <v>418</v>
      </c>
      <c r="T35" s="56"/>
      <c r="U35" s="59">
        <f>SUM(G35,J35,M35,P35,S35)</f>
        <v>1529</v>
      </c>
      <c r="V35" s="60">
        <v>2</v>
      </c>
    </row>
    <row r="36" spans="1:22" ht="12.75" customHeight="1">
      <c r="A36" s="51"/>
      <c r="B36" s="63"/>
      <c r="C36" s="63"/>
      <c r="D36" s="62"/>
      <c r="E36" s="63"/>
      <c r="F36" s="66"/>
      <c r="G36" s="55" t="str">
        <f>IF(F36&gt;0,ROUNDDOWN(((100/F36)-4.0062)/0.00656,0)," ")</f>
        <v> </v>
      </c>
      <c r="H36" s="56"/>
      <c r="I36" s="66"/>
      <c r="J36" s="55" t="str">
        <f>IF(I36&gt;0,ROUNDDOWN(((80/I36)-2.01)/0.0078,0)," ")</f>
        <v> </v>
      </c>
      <c r="K36" s="56"/>
      <c r="L36" s="54"/>
      <c r="M36" s="55" t="str">
        <f>IF(L36&gt;0,ROUNDDOWN((SQRT(L36)-1.0515)/0.0089,0)," ")</f>
        <v> </v>
      </c>
      <c r="N36" s="56"/>
      <c r="O36" s="54"/>
      <c r="P36" s="55" t="str">
        <f>IF(O36&gt;0,ROUNDDOWN((SQRT(O36)-1.0935)/0.00208,0)," ")</f>
        <v> </v>
      </c>
      <c r="Q36" s="56"/>
      <c r="R36" s="54"/>
      <c r="S36" s="55" t="str">
        <f>IF(R36&gt;0,ROUNDDOWN((SQRT(R36)-1.279)/0.00396,0)," ")</f>
        <v> </v>
      </c>
      <c r="T36" s="56"/>
      <c r="U36" s="59">
        <f>SUM(G36,J36,M36,P36,S36)</f>
        <v>0</v>
      </c>
      <c r="V36" s="60"/>
    </row>
    <row r="37" spans="1:22" ht="12.75" customHeight="1">
      <c r="A37" s="51"/>
      <c r="B37" s="64"/>
      <c r="C37" s="64"/>
      <c r="D37" s="62"/>
      <c r="E37" s="40" t="s">
        <v>55</v>
      </c>
      <c r="F37" s="41" t="s">
        <v>266</v>
      </c>
      <c r="G37" s="44"/>
      <c r="H37" s="43"/>
      <c r="I37" s="41" t="s">
        <v>267</v>
      </c>
      <c r="J37" s="44"/>
      <c r="K37" s="43"/>
      <c r="L37" s="54"/>
      <c r="M37" s="55"/>
      <c r="N37" s="56"/>
      <c r="O37" s="54"/>
      <c r="P37" s="55"/>
      <c r="Q37" s="56"/>
      <c r="R37" s="54"/>
      <c r="S37" s="55"/>
      <c r="T37" s="56"/>
      <c r="U37" s="59"/>
      <c r="V37" s="60"/>
    </row>
    <row r="38" spans="1:22" ht="12.75" customHeight="1">
      <c r="A38" s="70"/>
      <c r="B38" s="71"/>
      <c r="C38" s="71"/>
      <c r="D38" s="72"/>
      <c r="E38" s="73"/>
      <c r="F38" s="66"/>
      <c r="G38" s="55" t="str">
        <f>IF(F38&gt;0,ROUNDDOWN(((100/F38)-4.0062)/0.00656,0)," ")</f>
        <v> </v>
      </c>
      <c r="H38" s="56"/>
      <c r="I38" s="66"/>
      <c r="J38" s="55" t="str">
        <f>IF(I38&gt;0,ROUNDDOWN(((80/I38)-2.01)/0.0078,0)," ")</f>
        <v> </v>
      </c>
      <c r="K38" s="56"/>
      <c r="L38" s="54"/>
      <c r="M38" s="55" t="str">
        <f>IF(L38&gt;0,ROUNDDOWN((SQRT(L38)-1.0515)/0.0089,0)," ")</f>
        <v> </v>
      </c>
      <c r="N38" s="56"/>
      <c r="O38" s="54"/>
      <c r="P38" s="55" t="str">
        <f>IF(O38&gt;0,ROUNDDOWN((SQRT(O38)-1.0935)/0.00208,0)," ")</f>
        <v> </v>
      </c>
      <c r="Q38" s="56"/>
      <c r="R38" s="85" t="s">
        <v>282</v>
      </c>
      <c r="S38" s="86"/>
      <c r="T38" s="87"/>
      <c r="U38" s="59"/>
      <c r="V38" s="60"/>
    </row>
    <row r="39" spans="1:22" ht="15.75">
      <c r="A39" s="51">
        <v>274</v>
      </c>
      <c r="B39" s="64" t="s">
        <v>283</v>
      </c>
      <c r="C39" s="64" t="s">
        <v>284</v>
      </c>
      <c r="D39" s="62">
        <v>1994</v>
      </c>
      <c r="E39" s="63" t="s">
        <v>18</v>
      </c>
      <c r="F39" s="66" t="s">
        <v>51</v>
      </c>
      <c r="G39" s="55">
        <v>0</v>
      </c>
      <c r="H39" s="56"/>
      <c r="I39" s="66" t="s">
        <v>51</v>
      </c>
      <c r="J39" s="55">
        <v>0</v>
      </c>
      <c r="K39" s="56"/>
      <c r="L39" s="54">
        <v>38.61</v>
      </c>
      <c r="M39" s="55">
        <f>IF(L39&gt;0,ROUNDDOWN((SQRT(L39)-1.0515)/0.0089,0)," ")</f>
        <v>580</v>
      </c>
      <c r="N39" s="56"/>
      <c r="O39" s="54" t="s">
        <v>51</v>
      </c>
      <c r="P39" s="55">
        <v>0</v>
      </c>
      <c r="Q39" s="56"/>
      <c r="R39" s="54">
        <v>9.7</v>
      </c>
      <c r="S39" s="55">
        <f>IF(R39&gt;0,ROUNDDOWN((SQRT(R39)-1.279)/0.00396,0)," ")</f>
        <v>463</v>
      </c>
      <c r="T39" s="56"/>
      <c r="U39" s="59">
        <f>SUM(G39,J39,M39,P39,S39)</f>
        <v>1043</v>
      </c>
      <c r="V39" s="60" t="s">
        <v>285</v>
      </c>
    </row>
    <row r="40" spans="1:22" ht="12.75" customHeight="1">
      <c r="A40" s="70"/>
      <c r="B40" s="71"/>
      <c r="C40" s="71"/>
      <c r="D40" s="72"/>
      <c r="E40" s="76"/>
      <c r="F40" s="66"/>
      <c r="G40" s="55" t="str">
        <f>IF(F40&gt;0,ROUNDDOWN(((100/F40)-4.0062)/0.00656,0)," ")</f>
        <v> </v>
      </c>
      <c r="H40" s="56"/>
      <c r="I40" s="66"/>
      <c r="J40" s="55" t="str">
        <f>IF(I40&gt;0,ROUNDDOWN(((80/I40)-2.01)/0.0078,0)," ")</f>
        <v> </v>
      </c>
      <c r="K40" s="56"/>
      <c r="L40" s="54"/>
      <c r="M40" s="55" t="str">
        <f>IF(L40&gt;0,ROUNDDOWN((SQRT(L40)-1.0515)/0.0089,0)," ")</f>
        <v> </v>
      </c>
      <c r="N40" s="56"/>
      <c r="O40" s="54"/>
      <c r="P40" s="55" t="str">
        <f>IF(O40&gt;0,ROUNDDOWN((SQRT(O40)-1.0935)/0.00208,0)," ")</f>
        <v> </v>
      </c>
      <c r="Q40" s="56"/>
      <c r="R40" s="54"/>
      <c r="S40" s="55" t="str">
        <f>IF(R40&gt;0,ROUNDDOWN((SQRT(R40)-1.279)/0.00396,0)," ")</f>
        <v> </v>
      </c>
      <c r="T40" s="56"/>
      <c r="U40" s="59"/>
      <c r="V40" s="60"/>
    </row>
  </sheetData>
  <sheetProtection/>
  <mergeCells count="34">
    <mergeCell ref="R38:T38"/>
    <mergeCell ref="A19:A20"/>
    <mergeCell ref="B19:B20"/>
    <mergeCell ref="C19:C20"/>
    <mergeCell ref="D19:D20"/>
    <mergeCell ref="E19:E20"/>
    <mergeCell ref="I31:K31"/>
    <mergeCell ref="L31:N31"/>
    <mergeCell ref="O31:Q31"/>
    <mergeCell ref="R31:T31"/>
    <mergeCell ref="A4:A5"/>
    <mergeCell ref="B4:B5"/>
    <mergeCell ref="C4:C5"/>
    <mergeCell ref="D4:D5"/>
    <mergeCell ref="E4:E5"/>
    <mergeCell ref="U19:V19"/>
    <mergeCell ref="I4:K4"/>
    <mergeCell ref="L4:N4"/>
    <mergeCell ref="O4:Q4"/>
    <mergeCell ref="R4:T4"/>
    <mergeCell ref="U4:V4"/>
    <mergeCell ref="F4:H4"/>
    <mergeCell ref="F19:H19"/>
    <mergeCell ref="I19:K19"/>
    <mergeCell ref="L19:N19"/>
    <mergeCell ref="O19:Q19"/>
    <mergeCell ref="R19:T19"/>
    <mergeCell ref="U31:V31"/>
    <mergeCell ref="A31:A32"/>
    <mergeCell ref="B31:B32"/>
    <mergeCell ref="C31:C32"/>
    <mergeCell ref="D31:D32"/>
    <mergeCell ref="E31:E32"/>
    <mergeCell ref="F31:H31"/>
  </mergeCells>
  <printOptions horizontalCentered="1"/>
  <pageMargins left="0.7875" right="0.7875" top="0.5902777777777778" bottom="0.5902777777777778" header="0.5118055555555555" footer="0.5118055555555555"/>
  <pageSetup fitToHeight="1" fitToWidth="1" horizontalDpi="300" verticalDpi="3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Administrator1</cp:lastModifiedBy>
  <cp:lastPrinted>2011-04-19T06:32:13Z</cp:lastPrinted>
  <dcterms:created xsi:type="dcterms:W3CDTF">2011-04-16T16:05:08Z</dcterms:created>
  <dcterms:modified xsi:type="dcterms:W3CDTF">2011-04-19T18:26:46Z</dcterms:modified>
  <cp:category/>
  <cp:version/>
  <cp:contentType/>
  <cp:contentStatus/>
</cp:coreProperties>
</file>